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ANDRE\Desktop\"/>
    </mc:Choice>
  </mc:AlternateContent>
  <xr:revisionPtr revIDLastSave="0" documentId="13_ncr:1_{8590CF9F-14C7-469E-870C-375BF950AC39}" xr6:coauthVersionLast="47" xr6:coauthVersionMax="47" xr10:uidLastSave="{00000000-0000-0000-0000-000000000000}"/>
  <bookViews>
    <workbookView xWindow="2250" yWindow="510" windowWidth="16455" windowHeight="9465" activeTab="5" xr2:uid="{00000000-000D-0000-FFFF-FFFF00000000}"/>
  </bookViews>
  <sheets>
    <sheet name="11. Composições" sheetId="16" r:id="rId1"/>
    <sheet name="2.1 Mod Mem Cál" sheetId="28" state="hidden" r:id="rId2"/>
    <sheet name="5. Cx de Inspeção" sheetId="10" r:id="rId3"/>
    <sheet name="5A. CX. de insp. Mem. Calc." sheetId="41" state="hidden" r:id="rId4"/>
    <sheet name="6. Fossa - Cálculo" sheetId="18" r:id="rId5"/>
    <sheet name="6A. Fossa" sheetId="9" r:id="rId6"/>
    <sheet name="6A.1 Fossa Mem. CAL." sheetId="29" state="hidden" r:id="rId7"/>
    <sheet name="7. Sumidouro cálculo" sheetId="19" r:id="rId8"/>
    <sheet name="7A. Sumid. Argil. " sheetId="11" r:id="rId9"/>
    <sheet name="7A.1 Sumid.Argil.Mem. Cal. vali" sheetId="30" state="hidden" r:id="rId10"/>
    <sheet name="7B. Sumid. Aren." sheetId="8" r:id="rId11"/>
    <sheet name="7B.1 Sumid.Aren.Mem. Cal. valid" sheetId="36" state="hidden" r:id="rId12"/>
    <sheet name="8. Cálculo Vala" sheetId="24" r:id="rId13"/>
    <sheet name="8A. V. de infilt. S. Argil." sheetId="23" r:id="rId14"/>
    <sheet name="8A.1 V. Infilt. Mem Cal Cp35" sheetId="32" state="hidden" r:id="rId15"/>
    <sheet name="8B. Vala de infilt. S. Aren." sheetId="33" r:id="rId16"/>
    <sheet name="8B.1 V. Infilt. Mem Cal Cp65" sheetId="34" state="hidden" r:id="rId17"/>
    <sheet name="10. Placa Obra" sheetId="13" r:id="rId18"/>
  </sheets>
  <externalReferences>
    <externalReference r:id="rId19"/>
  </externalReferences>
  <definedNames>
    <definedName name="_xlnm.Print_Area" localSheetId="17">'10. Placa Obra'!$A$1:$H$10</definedName>
    <definedName name="_xlnm.Print_Area" localSheetId="0">'11. Composições'!$A$1:$H$139</definedName>
    <definedName name="_xlnm.Print_Area" localSheetId="1">'2.1 Mod Mem Cál'!$A$1:$T$253</definedName>
    <definedName name="_xlnm.Print_Area" localSheetId="2">'5. Cx de Inspeção'!$A$1:$H$10</definedName>
    <definedName name="_xlnm.Print_Area" localSheetId="3">'5A. CX. de insp. Mem. Calc.'!$A$1:$L$74</definedName>
    <definedName name="_xlnm.Print_Area" localSheetId="4">'6. Fossa - Cálculo'!$C$10:$K$87</definedName>
    <definedName name="_xlnm.Print_Area" localSheetId="5">'6A. Fossa'!$A$1:$H$24</definedName>
    <definedName name="_xlnm.Print_Area" localSheetId="6">'6A.1 Fossa Mem. CAL.'!$A$1:$L$95</definedName>
    <definedName name="_xlnm.Print_Area" localSheetId="7">'7. Sumidouro cálculo'!$C$1:$K$49</definedName>
    <definedName name="_xlnm.Print_Area" localSheetId="8">'7A. Sumid. Argil. '!$A$1:$H$18</definedName>
    <definedName name="_xlnm.Print_Area" localSheetId="9">'7A.1 Sumid.Argil.Mem. Cal. vali'!$A$1:$L$96</definedName>
    <definedName name="_xlnm.Print_Area" localSheetId="10">'7B. Sumid. Aren.'!$A$1:$H$23</definedName>
    <definedName name="_xlnm.Print_Area" localSheetId="11">'7B.1 Sumid.Aren.Mem. Cal. valid'!$A$1:$L$82</definedName>
    <definedName name="_xlnm.Print_Area" localSheetId="12">'8. Cálculo Vala'!$C$9:$I$68</definedName>
    <definedName name="_xlnm.Print_Area" localSheetId="13">'8A. V. de infilt. S. Argil.'!$A$1:$H$19</definedName>
    <definedName name="_xlnm.Print_Area" localSheetId="14">'8A.1 V. Infilt. Mem Cal Cp35'!$A$1:$L$130</definedName>
    <definedName name="_xlnm.Print_Area" localSheetId="15">'8B. Vala de infilt. S. Aren.'!$A$1:$H$19</definedName>
    <definedName name="_xlnm.Print_Area" localSheetId="16">'8B.1 V. Infilt. Mem Cal Cp65'!$A$1:$L$50</definedName>
    <definedName name="_xlnm.Print_Titles" localSheetId="0">'11. Composições'!$6:$7</definedName>
    <definedName name="_xlnm.Print_Titles" localSheetId="1">'2.1 Mod Mem Cál'!$4:$7</definedName>
  </definedNames>
  <calcPr calcId="181029"/>
</workbook>
</file>

<file path=xl/calcChain.xml><?xml version="1.0" encoding="utf-8"?>
<calcChain xmlns="http://schemas.openxmlformats.org/spreadsheetml/2006/main">
  <c r="E11" i="33" l="1"/>
  <c r="J16" i="34"/>
  <c r="G16" i="33"/>
  <c r="G15" i="33"/>
  <c r="G12" i="33"/>
  <c r="G3" i="33"/>
  <c r="G74" i="16" l="1"/>
  <c r="G11" i="9"/>
  <c r="G63" i="16" l="1"/>
  <c r="G20" i="16" l="1"/>
  <c r="C3" i="33"/>
  <c r="J40" i="41" l="1"/>
  <c r="G69" i="16" l="1"/>
  <c r="G66" i="16"/>
  <c r="G64" i="16"/>
  <c r="E102" i="32"/>
  <c r="E54" i="41"/>
  <c r="E49" i="41"/>
  <c r="D72" i="41" l="1"/>
  <c r="J73" i="41" s="1"/>
  <c r="D68" i="41" s="1"/>
  <c r="G59" i="41"/>
  <c r="J60" i="41" s="1"/>
  <c r="J55" i="41"/>
  <c r="J46" i="41"/>
  <c r="D42" i="41" s="1"/>
  <c r="D36" i="41"/>
  <c r="E65" i="16" s="1"/>
  <c r="G65" i="16" s="1"/>
  <c r="D32" i="41"/>
  <c r="D23" i="41" s="1"/>
  <c r="J25" i="41" s="1"/>
  <c r="D22" i="41" s="1"/>
  <c r="D18" i="41"/>
  <c r="J19" i="41" s="1"/>
  <c r="D14" i="41" s="1"/>
  <c r="D11" i="41"/>
  <c r="J12" i="41" s="1"/>
  <c r="D6" i="41" s="1"/>
  <c r="E62" i="16" s="1"/>
  <c r="G62" i="16" s="1"/>
  <c r="G134" i="16"/>
  <c r="G133" i="16"/>
  <c r="G132" i="16"/>
  <c r="G131" i="16"/>
  <c r="G130" i="16"/>
  <c r="G128" i="16"/>
  <c r="G129" i="16"/>
  <c r="G121" i="16"/>
  <c r="G122" i="16"/>
  <c r="G116" i="16"/>
  <c r="G115" i="16"/>
  <c r="G114" i="16"/>
  <c r="G109" i="16"/>
  <c r="G108" i="16"/>
  <c r="G107" i="16"/>
  <c r="F33" i="32"/>
  <c r="D47" i="32"/>
  <c r="E46" i="32"/>
  <c r="E51" i="32"/>
  <c r="F34" i="32"/>
  <c r="E32" i="32"/>
  <c r="D17" i="32"/>
  <c r="J18" i="32" s="1"/>
  <c r="D9" i="32"/>
  <c r="D11" i="32" s="1"/>
  <c r="D25" i="32"/>
  <c r="J27" i="32" s="1"/>
  <c r="D50" i="32" s="1"/>
  <c r="D128" i="32"/>
  <c r="J129" i="32" s="1"/>
  <c r="G112" i="32"/>
  <c r="J113" i="32" s="1"/>
  <c r="J104" i="32"/>
  <c r="D64" i="32"/>
  <c r="J65" i="32" s="1"/>
  <c r="E95" i="16" s="1"/>
  <c r="G95" i="16" s="1"/>
  <c r="J33" i="41" l="1"/>
  <c r="D28" i="41" s="1"/>
  <c r="J51" i="41"/>
  <c r="J62" i="41" s="1"/>
  <c r="G136" i="16"/>
  <c r="F9" i="13" s="1"/>
  <c r="J29" i="32"/>
  <c r="D52" i="32"/>
  <c r="J53" i="32" s="1"/>
  <c r="G118" i="16"/>
  <c r="G124" i="16"/>
  <c r="G111" i="16"/>
  <c r="D53" i="32"/>
  <c r="J48" i="32"/>
  <c r="E107" i="32"/>
  <c r="J108" i="32" s="1"/>
  <c r="J115" i="32" s="1"/>
  <c r="J99" i="32"/>
  <c r="E99" i="16" s="1"/>
  <c r="G99" i="16" s="1"/>
  <c r="J93" i="32"/>
  <c r="D85" i="32"/>
  <c r="D71" i="32"/>
  <c r="J72" i="32" s="1"/>
  <c r="D67" i="32" s="1"/>
  <c r="D124" i="32"/>
  <c r="E102" i="16" s="1"/>
  <c r="G102" i="16" s="1"/>
  <c r="G88" i="16"/>
  <c r="G89" i="16"/>
  <c r="G87" i="16"/>
  <c r="G86" i="16"/>
  <c r="F10" i="23" l="1"/>
  <c r="F10" i="33"/>
  <c r="F11" i="23"/>
  <c r="F11" i="33"/>
  <c r="G11" i="33" s="1"/>
  <c r="E9" i="23"/>
  <c r="D48" i="41"/>
  <c r="E67" i="16" s="1"/>
  <c r="G67" i="16" s="1"/>
  <c r="J66" i="41"/>
  <c r="D64" i="41" s="1"/>
  <c r="E68" i="16" s="1"/>
  <c r="G68" i="16" s="1"/>
  <c r="D89" i="32"/>
  <c r="E98" i="16"/>
  <c r="G98" i="16" s="1"/>
  <c r="E100" i="16"/>
  <c r="G100" i="16" s="1"/>
  <c r="J121" i="32"/>
  <c r="D119" i="32" s="1"/>
  <c r="E101" i="16" s="1"/>
  <c r="G101" i="16" s="1"/>
  <c r="J86" i="32"/>
  <c r="D81" i="32" s="1"/>
  <c r="E97" i="16" s="1"/>
  <c r="G97" i="16" s="1"/>
  <c r="D76" i="32"/>
  <c r="J78" i="32" s="1"/>
  <c r="D45" i="32"/>
  <c r="J55" i="32"/>
  <c r="G85" i="16"/>
  <c r="G84" i="16"/>
  <c r="G83" i="16"/>
  <c r="F42" i="30"/>
  <c r="G71" i="16" l="1"/>
  <c r="F9" i="10" s="1"/>
  <c r="E14" i="23"/>
  <c r="G91" i="16"/>
  <c r="D75" i="32"/>
  <c r="E96" i="16"/>
  <c r="G96" i="16" s="1"/>
  <c r="G104" i="16" s="1"/>
  <c r="D101" i="32"/>
  <c r="F86" i="29"/>
  <c r="F62" i="29"/>
  <c r="F72" i="29" s="1"/>
  <c r="F55" i="29"/>
  <c r="D56" i="29" s="1"/>
  <c r="J59" i="29" s="1"/>
  <c r="F46" i="29"/>
  <c r="D48" i="29" s="1"/>
  <c r="J51" i="29" s="1"/>
  <c r="F17" i="33" l="1"/>
  <c r="G17" i="33" s="1"/>
  <c r="D63" i="29"/>
  <c r="F67" i="29"/>
  <c r="G33" i="29"/>
  <c r="D9" i="36"/>
  <c r="D12" i="36"/>
  <c r="D24" i="29"/>
  <c r="J26" i="29" s="1"/>
  <c r="F16" i="29"/>
  <c r="D17" i="29" s="1"/>
  <c r="J19" i="29" s="1"/>
  <c r="F32" i="29" l="1"/>
  <c r="D34" i="29" s="1"/>
  <c r="J36" i="29" s="1"/>
  <c r="E10" i="9" s="1"/>
  <c r="D9" i="29"/>
  <c r="D10" i="29" s="1"/>
  <c r="D8" i="29"/>
  <c r="D70" i="30"/>
  <c r="F69" i="30"/>
  <c r="F52" i="30"/>
  <c r="F63" i="30" s="1"/>
  <c r="D64" i="30" s="1"/>
  <c r="F35" i="30"/>
  <c r="K126" i="30"/>
  <c r="D29" i="30"/>
  <c r="F28" i="30"/>
  <c r="J22" i="30"/>
  <c r="G27" i="30" s="1"/>
  <c r="F16" i="30"/>
  <c r="D10" i="30"/>
  <c r="D11" i="30" s="1"/>
  <c r="D9" i="30"/>
  <c r="J13" i="30" s="1"/>
  <c r="F72" i="36" l="1"/>
  <c r="D73" i="36" s="1"/>
  <c r="F61" i="36"/>
  <c r="G57" i="36"/>
  <c r="F56" i="36"/>
  <c r="F51" i="36"/>
  <c r="F43" i="36"/>
  <c r="D44" i="36" s="1"/>
  <c r="J47" i="36" s="1"/>
  <c r="D42" i="36" s="1"/>
  <c r="E13" i="8" s="1"/>
  <c r="G13" i="8" s="1"/>
  <c r="G38" i="36"/>
  <c r="F36" i="36"/>
  <c r="D37" i="36" s="1"/>
  <c r="G11" i="8"/>
  <c r="G77" i="16"/>
  <c r="G76" i="16"/>
  <c r="G28" i="36"/>
  <c r="F21" i="36"/>
  <c r="D22" i="36" s="1"/>
  <c r="J24" i="36" s="1"/>
  <c r="F11" i="36"/>
  <c r="G63" i="36"/>
  <c r="G52" i="36"/>
  <c r="E22" i="19"/>
  <c r="C35" i="19" s="1"/>
  <c r="F35" i="19" s="1"/>
  <c r="D71" i="36" l="1"/>
  <c r="J75" i="36"/>
  <c r="D13" i="36"/>
  <c r="J16" i="36" s="1"/>
  <c r="J25" i="36" s="1"/>
  <c r="D4" i="36" s="1"/>
  <c r="E9" i="8" s="1"/>
  <c r="D14" i="36"/>
  <c r="G79" i="16"/>
  <c r="F12" i="8" s="1"/>
  <c r="F29" i="36"/>
  <c r="D30" i="36"/>
  <c r="J32" i="36" s="1"/>
  <c r="D27" i="36" s="1"/>
  <c r="E10" i="8" s="1"/>
  <c r="D62" i="36"/>
  <c r="J40" i="36"/>
  <c r="D58" i="36"/>
  <c r="D53" i="36"/>
  <c r="C40" i="19"/>
  <c r="F40" i="19" s="1"/>
  <c r="C44" i="19"/>
  <c r="F44" i="19" s="1"/>
  <c r="J59" i="36" l="1"/>
  <c r="D79" i="36"/>
  <c r="J80" i="36" s="1"/>
  <c r="D77" i="36" s="1"/>
  <c r="E17" i="8" s="1"/>
  <c r="G17" i="8" s="1"/>
  <c r="E16" i="8"/>
  <c r="G16" i="8" s="1"/>
  <c r="E12" i="8"/>
  <c r="G12" i="8" s="1"/>
  <c r="D35" i="36"/>
  <c r="J64" i="36"/>
  <c r="J54" i="36"/>
  <c r="J66" i="36" s="1"/>
  <c r="J69" i="36" s="1"/>
  <c r="D68" i="36" s="1"/>
  <c r="E15" i="8" l="1"/>
  <c r="D50" i="36"/>
  <c r="E14" i="8" s="1"/>
  <c r="G10" i="8" l="1"/>
  <c r="G10" i="9"/>
  <c r="J30" i="30" l="1"/>
  <c r="D26" i="30" s="1"/>
  <c r="E10" i="11" s="1"/>
  <c r="G10" i="11" s="1"/>
  <c r="J72" i="30" l="1"/>
  <c r="G49" i="30"/>
  <c r="D36" i="30"/>
  <c r="D68" i="30" l="1"/>
  <c r="E15" i="11"/>
  <c r="F47" i="30"/>
  <c r="D18" i="30"/>
  <c r="J20" i="30" s="1"/>
  <c r="J23" i="30" s="1"/>
  <c r="J66" i="30" l="1"/>
  <c r="D62" i="30" s="1"/>
  <c r="E14" i="11" s="1"/>
  <c r="G14" i="11" s="1"/>
  <c r="D4" i="30"/>
  <c r="E9" i="11" s="1"/>
  <c r="D43" i="30"/>
  <c r="D87" i="29"/>
  <c r="D40" i="29"/>
  <c r="D41" i="29" s="1"/>
  <c r="G69" i="29"/>
  <c r="D68" i="29"/>
  <c r="G74" i="29"/>
  <c r="G64" i="29"/>
  <c r="J65" i="29" s="1"/>
  <c r="J89" i="29" l="1"/>
  <c r="D85" i="29" s="1"/>
  <c r="E19" i="9" s="1"/>
  <c r="J70" i="29"/>
  <c r="G18" i="9" l="1"/>
  <c r="F38" i="34" l="1"/>
  <c r="E37" i="34"/>
  <c r="D45" i="34"/>
  <c r="D47" i="34" s="1"/>
  <c r="J49" i="34" s="1"/>
  <c r="D44" i="34" s="1"/>
  <c r="E14" i="33" s="1"/>
  <c r="G14" i="33" s="1"/>
  <c r="F30" i="34"/>
  <c r="F29" i="34"/>
  <c r="E28" i="34"/>
  <c r="J23" i="34"/>
  <c r="J25" i="34" s="1"/>
  <c r="D10" i="34"/>
  <c r="D9" i="34"/>
  <c r="C4" i="33"/>
  <c r="F40" i="32"/>
  <c r="E39" i="32"/>
  <c r="D20" i="24"/>
  <c r="I14" i="24"/>
  <c r="H49" i="24" s="1"/>
  <c r="G54" i="30"/>
  <c r="N44" i="30"/>
  <c r="G44" i="30"/>
  <c r="J45" i="30" s="1"/>
  <c r="J116" i="29"/>
  <c r="D115" i="29" s="1"/>
  <c r="D112" i="29"/>
  <c r="N107" i="29"/>
  <c r="D107" i="29"/>
  <c r="D108" i="29" s="1"/>
  <c r="N101" i="29"/>
  <c r="D101" i="29"/>
  <c r="D102" i="29" s="1"/>
  <c r="J103" i="29" s="1"/>
  <c r="J110" i="29" s="1"/>
  <c r="D97" i="29" s="1"/>
  <c r="J43" i="29"/>
  <c r="D39" i="29" s="1"/>
  <c r="E12" i="9" s="1"/>
  <c r="D73" i="29"/>
  <c r="D53" i="29"/>
  <c r="E14" i="9" s="1"/>
  <c r="D45" i="29"/>
  <c r="E13" i="9" s="1"/>
  <c r="J28" i="29"/>
  <c r="D4" i="29" s="1"/>
  <c r="E9" i="9" s="1"/>
  <c r="J75" i="29" l="1"/>
  <c r="J80" i="29" s="1"/>
  <c r="D93" i="29"/>
  <c r="J95" i="29" s="1"/>
  <c r="D91" i="29" s="1"/>
  <c r="E20" i="9" s="1"/>
  <c r="G20" i="9" s="1"/>
  <c r="D39" i="34"/>
  <c r="J40" i="34" s="1"/>
  <c r="D36" i="34" s="1"/>
  <c r="E13" i="33" s="1"/>
  <c r="D18" i="34"/>
  <c r="D12" i="34"/>
  <c r="E9" i="33" s="1"/>
  <c r="G9" i="33" s="1"/>
  <c r="D31" i="34"/>
  <c r="J32" i="34" s="1"/>
  <c r="D27" i="34" s="1"/>
  <c r="E10" i="33" s="1"/>
  <c r="D13" i="32"/>
  <c r="D35" i="32"/>
  <c r="J36" i="32" s="1"/>
  <c r="D41" i="32"/>
  <c r="J42" i="32" s="1"/>
  <c r="D38" i="32" s="1"/>
  <c r="G13" i="33" s="1"/>
  <c r="N37" i="30"/>
  <c r="J39" i="30"/>
  <c r="D33" i="30" s="1"/>
  <c r="E11" i="11" s="1"/>
  <c r="D79" i="29"/>
  <c r="E16" i="9" s="1"/>
  <c r="E54" i="24"/>
  <c r="E60" i="24"/>
  <c r="D32" i="24"/>
  <c r="H38" i="24"/>
  <c r="E44" i="24" s="1"/>
  <c r="D53" i="30"/>
  <c r="D94" i="30" s="1"/>
  <c r="J95" i="30" s="1"/>
  <c r="D92" i="30" s="1"/>
  <c r="E16" i="11" s="1"/>
  <c r="G16" i="11" s="1"/>
  <c r="N53" i="30"/>
  <c r="J77" i="29" l="1"/>
  <c r="D61" i="29" s="1"/>
  <c r="E15" i="9" s="1"/>
  <c r="G10" i="33"/>
  <c r="G18" i="33"/>
  <c r="E13" i="23"/>
  <c r="D31" i="32"/>
  <c r="E10" i="23"/>
  <c r="G10" i="23" s="1"/>
  <c r="N55" i="30"/>
  <c r="J55" i="30"/>
  <c r="N43" i="30"/>
  <c r="D48" i="30" l="1"/>
  <c r="J50" i="30" s="1"/>
  <c r="D41" i="30" s="1"/>
  <c r="F75" i="30"/>
  <c r="N48" i="30"/>
  <c r="J60" i="30" l="1"/>
  <c r="D59" i="30" s="1"/>
  <c r="E13" i="11" s="1"/>
  <c r="G13" i="11" s="1"/>
  <c r="E12" i="11"/>
  <c r="G12" i="11" s="1"/>
  <c r="N76" i="30"/>
  <c r="D76" i="30"/>
  <c r="J78" i="30" s="1"/>
  <c r="D74" i="30" s="1"/>
  <c r="N50" i="30"/>
  <c r="J57" i="30" l="1"/>
  <c r="D80" i="30"/>
  <c r="D85" i="30"/>
  <c r="J81" i="30"/>
  <c r="J86" i="30"/>
  <c r="G9" i="11" l="1"/>
  <c r="G19" i="9" l="1"/>
  <c r="G50" i="16" l="1"/>
  <c r="G55" i="16"/>
  <c r="G43" i="16" l="1"/>
  <c r="J134" i="28" l="1"/>
  <c r="J133" i="28"/>
  <c r="J132" i="28"/>
  <c r="K129" i="28"/>
  <c r="J136" i="28" l="1"/>
  <c r="J121" i="28"/>
  <c r="J13" i="28" l="1"/>
  <c r="J115" i="28"/>
  <c r="J117" i="28"/>
  <c r="J116" i="28"/>
  <c r="J114" i="28"/>
  <c r="J119" i="28" l="1"/>
  <c r="J109" i="28"/>
  <c r="J86" i="28" l="1"/>
  <c r="J97" i="28" l="1"/>
  <c r="J96" i="28"/>
  <c r="J14" i="28"/>
  <c r="J87" i="28" l="1"/>
  <c r="J90" i="28" s="1"/>
  <c r="G27" i="16"/>
  <c r="D85" i="28" l="1"/>
  <c r="G26" i="16"/>
  <c r="G28" i="16"/>
  <c r="G29" i="16"/>
  <c r="G30" i="16" l="1"/>
  <c r="G10" i="16" l="1"/>
  <c r="G9" i="13" l="1"/>
  <c r="G4" i="13" l="1"/>
  <c r="G3" i="13"/>
  <c r="C4" i="13"/>
  <c r="C3" i="13"/>
  <c r="G4" i="23"/>
  <c r="C4" i="23"/>
  <c r="G3" i="23"/>
  <c r="C3" i="23"/>
  <c r="G4" i="8" l="1"/>
  <c r="C4" i="8"/>
  <c r="G3" i="8"/>
  <c r="C3" i="8"/>
  <c r="G4" i="11"/>
  <c r="C4" i="11"/>
  <c r="G3" i="11"/>
  <c r="C3" i="11"/>
  <c r="G4" i="9"/>
  <c r="C4" i="9"/>
  <c r="G3" i="9"/>
  <c r="C3" i="9"/>
  <c r="G4" i="10"/>
  <c r="C4" i="10"/>
  <c r="G3" i="10"/>
  <c r="C3" i="10"/>
  <c r="B120" i="28"/>
  <c r="B131" i="28"/>
  <c r="C4" i="16" l="1"/>
  <c r="C3" i="16"/>
  <c r="P71" i="28" l="1"/>
  <c r="G35" i="16" l="1"/>
  <c r="G4" i="33" l="1"/>
  <c r="G3" i="16"/>
  <c r="G4" i="16" l="1"/>
  <c r="G34" i="16" l="1"/>
  <c r="G33" i="16"/>
  <c r="G36" i="16" l="1"/>
  <c r="G49" i="16" l="1"/>
  <c r="G54" i="16"/>
  <c r="G57" i="16"/>
  <c r="G56" i="16"/>
  <c r="G53" i="16"/>
  <c r="G51" i="16"/>
  <c r="G52" i="16"/>
  <c r="G40" i="16" l="1"/>
  <c r="G42" i="16" l="1"/>
  <c r="G41" i="16"/>
  <c r="G45" i="16" l="1"/>
  <c r="J101" i="28"/>
  <c r="K94" i="28"/>
  <c r="J92" i="28"/>
  <c r="J94" i="28" s="1"/>
  <c r="D91" i="28" s="1"/>
  <c r="E39" i="16" l="1"/>
  <c r="J99" i="28"/>
  <c r="G22" i="16"/>
  <c r="K12" i="28" l="1"/>
  <c r="E10" i="28"/>
  <c r="F10" i="28"/>
  <c r="K16" i="28"/>
  <c r="J16" i="28"/>
  <c r="D13" i="28" s="1"/>
  <c r="K21" i="28"/>
  <c r="J18" i="28"/>
  <c r="J19" i="28"/>
  <c r="K26" i="28"/>
  <c r="J23" i="28"/>
  <c r="J24" i="28"/>
  <c r="K31" i="28"/>
  <c r="J28" i="28"/>
  <c r="J29" i="28"/>
  <c r="K36" i="28"/>
  <c r="J33" i="28"/>
  <c r="J34" i="28"/>
  <c r="K41" i="28"/>
  <c r="J38" i="28"/>
  <c r="J39" i="28"/>
  <c r="K48" i="28"/>
  <c r="J43" i="28"/>
  <c r="J44" i="28"/>
  <c r="J45" i="28"/>
  <c r="J46" i="28"/>
  <c r="K56" i="28"/>
  <c r="J50" i="28"/>
  <c r="J51" i="28"/>
  <c r="J52" i="28"/>
  <c r="J53" i="28"/>
  <c r="J54" i="28"/>
  <c r="K67" i="28"/>
  <c r="J58" i="28"/>
  <c r="J59" i="28"/>
  <c r="J60" i="28"/>
  <c r="J61" i="28"/>
  <c r="J62" i="28"/>
  <c r="J63" i="28"/>
  <c r="J64" i="28"/>
  <c r="J65" i="28"/>
  <c r="K78" i="28"/>
  <c r="J69" i="28"/>
  <c r="J70" i="28"/>
  <c r="J71" i="28"/>
  <c r="J72" i="28"/>
  <c r="J73" i="28"/>
  <c r="J74" i="28"/>
  <c r="J75" i="28"/>
  <c r="J76" i="28"/>
  <c r="K83" i="28"/>
  <c r="J80" i="28"/>
  <c r="J81" i="28"/>
  <c r="K90" i="28"/>
  <c r="D95" i="28"/>
  <c r="K99" i="28"/>
  <c r="J103" i="28"/>
  <c r="D100" i="28" s="1"/>
  <c r="K103" i="28"/>
  <c r="J105" i="28"/>
  <c r="J107" i="28" s="1"/>
  <c r="D104" i="28" s="1"/>
  <c r="K107" i="28"/>
  <c r="J111" i="28"/>
  <c r="D108" i="28" s="1"/>
  <c r="K119" i="28"/>
  <c r="J126" i="28"/>
  <c r="J129" i="28" s="1"/>
  <c r="K123" i="28"/>
  <c r="K136" i="28"/>
  <c r="J140" i="28"/>
  <c r="J141" i="28"/>
  <c r="J142" i="28"/>
  <c r="J143" i="28"/>
  <c r="J144" i="28"/>
  <c r="K147" i="28"/>
  <c r="J150" i="28"/>
  <c r="J151" i="28"/>
  <c r="J152" i="28"/>
  <c r="J153" i="28"/>
  <c r="J154" i="28"/>
  <c r="K156" i="28"/>
  <c r="K162" i="28"/>
  <c r="J159" i="28"/>
  <c r="J160" i="28"/>
  <c r="J165" i="28"/>
  <c r="J167" i="28" s="1"/>
  <c r="K167" i="28"/>
  <c r="J156" i="28" l="1"/>
  <c r="J123" i="28"/>
  <c r="D120" i="28" s="1"/>
  <c r="D113" i="28"/>
  <c r="J48" i="28"/>
  <c r="D125" i="28"/>
  <c r="D164" i="28"/>
  <c r="J78" i="28"/>
  <c r="J36" i="28"/>
  <c r="J10" i="28"/>
  <c r="J12" i="28" s="1"/>
  <c r="J21" i="28"/>
  <c r="D17" i="28" s="1"/>
  <c r="J83" i="28"/>
  <c r="J162" i="28"/>
  <c r="J31" i="28"/>
  <c r="J56" i="28"/>
  <c r="J26" i="28"/>
  <c r="J41" i="28"/>
  <c r="J67" i="28"/>
  <c r="D158" i="28" l="1"/>
  <c r="D79" i="28"/>
  <c r="D9" i="28"/>
  <c r="D32" i="28"/>
  <c r="J145" i="28"/>
  <c r="J147" i="28" s="1"/>
  <c r="D27" i="28"/>
  <c r="D149" i="28"/>
  <c r="D49" i="28"/>
  <c r="D42" i="28"/>
  <c r="D22" i="28"/>
  <c r="D57" i="28"/>
  <c r="D68" i="28"/>
  <c r="D131" i="28"/>
  <c r="D37" i="28"/>
  <c r="D139" i="28" l="1"/>
  <c r="G13" i="23"/>
  <c r="G16" i="23"/>
  <c r="G15" i="23"/>
  <c r="G11" i="23"/>
  <c r="G12" i="23"/>
  <c r="G11" i="16" l="1"/>
  <c r="G13" i="16"/>
  <c r="G12" i="16"/>
  <c r="G14" i="16" l="1"/>
  <c r="G22" i="8" l="1"/>
  <c r="G15" i="8"/>
  <c r="G14" i="8"/>
  <c r="G15" i="11"/>
  <c r="G9" i="23" l="1"/>
  <c r="G14" i="23" l="1"/>
  <c r="I25" i="18"/>
  <c r="F35" i="18" s="1"/>
  <c r="C35" i="18" s="1"/>
  <c r="G20" i="8"/>
  <c r="G19" i="8"/>
  <c r="G9" i="8"/>
  <c r="G11" i="11"/>
  <c r="G21" i="16"/>
  <c r="G19" i="16"/>
  <c r="G18" i="16"/>
  <c r="G17" i="16"/>
  <c r="G21" i="8"/>
  <c r="G22" i="9"/>
  <c r="G17" i="9"/>
  <c r="G10" i="13"/>
  <c r="F30" i="18" l="1"/>
  <c r="E30" i="18" s="1"/>
  <c r="G18" i="11"/>
  <c r="G23" i="8"/>
  <c r="G23" i="9" l="1"/>
  <c r="G21" i="9"/>
  <c r="G9" i="9"/>
  <c r="G12" i="9"/>
  <c r="G14" i="9"/>
  <c r="G13" i="9" l="1"/>
  <c r="G15" i="9"/>
  <c r="G16" i="9"/>
  <c r="G24" i="9" l="1"/>
  <c r="G23" i="16" l="1"/>
  <c r="F17" i="23" l="1"/>
  <c r="G17" i="23" s="1"/>
  <c r="G9" i="10"/>
  <c r="G10" i="10" s="1"/>
  <c r="G18" i="23" l="1"/>
  <c r="D82" i="16" l="1"/>
  <c r="G59" i="16" l="1"/>
</calcChain>
</file>

<file path=xl/sharedStrings.xml><?xml version="1.0" encoding="utf-8"?>
<sst xmlns="http://schemas.openxmlformats.org/spreadsheetml/2006/main" count="2364" uniqueCount="910">
  <si>
    <t>Item</t>
  </si>
  <si>
    <t>Especificação</t>
  </si>
  <si>
    <t>Un.</t>
  </si>
  <si>
    <t>Quant.</t>
  </si>
  <si>
    <t>Valor Unit. (R$)</t>
  </si>
  <si>
    <t>Total (R$)</t>
  </si>
  <si>
    <t>1.1</t>
  </si>
  <si>
    <t>m²</t>
  </si>
  <si>
    <t>1.2</t>
  </si>
  <si>
    <t>2.1</t>
  </si>
  <si>
    <t>m³</t>
  </si>
  <si>
    <t>3.1</t>
  </si>
  <si>
    <t>Impermeabilização com tintas betuminosa  (aplicado em 2 demãos)</t>
  </si>
  <si>
    <t>4.1</t>
  </si>
  <si>
    <t>5.1</t>
  </si>
  <si>
    <t>5.2</t>
  </si>
  <si>
    <t>6.1</t>
  </si>
  <si>
    <t>6.2</t>
  </si>
  <si>
    <t>7.1</t>
  </si>
  <si>
    <t>8.1</t>
  </si>
  <si>
    <t>2.2</t>
  </si>
  <si>
    <t>Total</t>
  </si>
  <si>
    <t>und</t>
  </si>
  <si>
    <t>1.3</t>
  </si>
  <si>
    <t>1.4</t>
  </si>
  <si>
    <t>1.5</t>
  </si>
  <si>
    <t>1.6</t>
  </si>
  <si>
    <t>1.7</t>
  </si>
  <si>
    <t>2.3</t>
  </si>
  <si>
    <t>2.4</t>
  </si>
  <si>
    <t>2.5</t>
  </si>
  <si>
    <t>2.6</t>
  </si>
  <si>
    <t xml:space="preserve">Total </t>
  </si>
  <si>
    <t>m</t>
  </si>
  <si>
    <t>1.8</t>
  </si>
  <si>
    <t>m2</t>
  </si>
  <si>
    <t>Lançamento/aplicação manual de concreto em fundações</t>
  </si>
  <si>
    <t>74157/004</t>
  </si>
  <si>
    <t>Telhamento com telha de fibrocimento ondulada, espessura 6 mm, incluindo juntas de vedação e acessórios de fixação</t>
  </si>
  <si>
    <t>unid</t>
  </si>
  <si>
    <t>1.9</t>
  </si>
  <si>
    <t>73990/001</t>
  </si>
  <si>
    <t>6.3</t>
  </si>
  <si>
    <t>7.2</t>
  </si>
  <si>
    <t>7.3</t>
  </si>
  <si>
    <t>4.2</t>
  </si>
  <si>
    <t>Módulo</t>
  </si>
  <si>
    <t>Coef.</t>
  </si>
  <si>
    <t>h</t>
  </si>
  <si>
    <t>Servente com encargos complementares</t>
  </si>
  <si>
    <t>Pedreiro com encargos complementares</t>
  </si>
  <si>
    <t>TOTAL</t>
  </si>
  <si>
    <r>
      <t>m</t>
    </r>
    <r>
      <rPr>
        <b/>
        <vertAlign val="superscript"/>
        <sz val="10"/>
        <rFont val="Arial"/>
        <family val="2"/>
      </rPr>
      <t>3</t>
    </r>
  </si>
  <si>
    <t>cj</t>
  </si>
  <si>
    <t>Telhadista com encargos complementares</t>
  </si>
  <si>
    <t>Conjunto arruelas de vedacao 5/16" para telha fibrocimento (uma arruela metalica e uma arruela pvc - conicas)</t>
  </si>
  <si>
    <t>Parafuso zincado rosca soberba, cabeca sextavada, 5/16 " x 110 mm, para fixacao de telha em madeira</t>
  </si>
  <si>
    <t>Telha de fibrocimento ondulada e = 6 mm, de *2,44  x 1,10* m (sem amianto)</t>
  </si>
  <si>
    <t>1.10</t>
  </si>
  <si>
    <t>1.11</t>
  </si>
  <si>
    <t>Janela Basculante de ferro em cantoneira 5/8"x1/8", linha popular, 40X70 cm</t>
  </si>
  <si>
    <t>Revestimento cerâmico para piso com placas tipo esmaltada extra de dimensões 35x35 cm aplicada em ambientes de área menor que 5 m2</t>
  </si>
  <si>
    <r>
      <t>m</t>
    </r>
    <r>
      <rPr>
        <vertAlign val="superscript"/>
        <sz val="10"/>
        <rFont val="Arial"/>
        <family val="2"/>
      </rPr>
      <t>3</t>
    </r>
  </si>
  <si>
    <t>t  &gt; 20</t>
  </si>
  <si>
    <t>10 &lt; t &lt; 21</t>
  </si>
  <si>
    <t>t  &lt; 11</t>
  </si>
  <si>
    <t xml:space="preserve">ambiente ( t ), em </t>
  </si>
  <si>
    <t>( anos )</t>
  </si>
  <si>
    <t>Valores de K por faixa de temperatura</t>
  </si>
  <si>
    <t>Intervalo entre limpezas</t>
  </si>
  <si>
    <t xml:space="preserve">              intervalo entre limpezas e temperatura do mês mais frio</t>
  </si>
  <si>
    <t>TABELA 3 - Taxa de acumulação total de lodo ( K ), em dias, por</t>
  </si>
  <si>
    <t>2.80</t>
  </si>
  <si>
    <t>1.80</t>
  </si>
  <si>
    <t>Mais de 10,0</t>
  </si>
  <si>
    <t>Mais que 9000</t>
  </si>
  <si>
    <t>De  7501  a  9000</t>
  </si>
  <si>
    <t>2.50</t>
  </si>
  <si>
    <t>1.50</t>
  </si>
  <si>
    <t>De 6,0 a 10,0</t>
  </si>
  <si>
    <t>De  6001  a  7500</t>
  </si>
  <si>
    <t>adotado</t>
  </si>
  <si>
    <t>De  4501  a  6000</t>
  </si>
  <si>
    <t>2.20</t>
  </si>
  <si>
    <t>1.20</t>
  </si>
  <si>
    <t>Até 6,0</t>
  </si>
  <si>
    <t>De  3001  a  4500</t>
  </si>
  <si>
    <t>De  1501  a  3000</t>
  </si>
  <si>
    <t>( m )</t>
  </si>
  <si>
    <t>( m3 )</t>
  </si>
  <si>
    <t>1.00</t>
  </si>
  <si>
    <t>Até 1500</t>
  </si>
  <si>
    <t>útil máxima</t>
  </si>
  <si>
    <t>útil mínima</t>
  </si>
  <si>
    <t xml:space="preserve"> </t>
  </si>
  <si>
    <t>Horas</t>
  </si>
  <si>
    <t>Dias</t>
  </si>
  <si>
    <t xml:space="preserve">            ( litros )</t>
  </si>
  <si>
    <t>Profundidade</t>
  </si>
  <si>
    <t>Volume útil</t>
  </si>
  <si>
    <t>Tempo de detenção</t>
  </si>
  <si>
    <t xml:space="preserve">Contribuição diária </t>
  </si>
  <si>
    <t xml:space="preserve">        e máxima, por faixa de volume útil</t>
  </si>
  <si>
    <t xml:space="preserve">                   por faixa de contribuição diária</t>
  </si>
  <si>
    <t>TABELA 4 - Profundidade útil mínima</t>
  </si>
  <si>
    <t>Período de detenção dos despejos,</t>
  </si>
  <si>
    <t xml:space="preserve">TABELA 2 - </t>
  </si>
  <si>
    <t>* logradouro público, rodoviária, estádio, etc.</t>
  </si>
  <si>
    <t>vaso</t>
  </si>
  <si>
    <t xml:space="preserve">   -Sanitários públicos*</t>
  </si>
  <si>
    <t>lugar</t>
  </si>
  <si>
    <t xml:space="preserve">    permanência</t>
  </si>
  <si>
    <t xml:space="preserve">   -Cinemas teatros e locais de curta per-</t>
  </si>
  <si>
    <t>refeições</t>
  </si>
  <si>
    <t xml:space="preserve">   -Restaurantes e similares</t>
  </si>
  <si>
    <t>pessoa/litros</t>
  </si>
  <si>
    <t xml:space="preserve">   -Bares</t>
  </si>
  <si>
    <t xml:space="preserve">   -Escolas (externatos) e locais de longa</t>
  </si>
  <si>
    <t xml:space="preserve">   -Edifícios públicos ou comerciais</t>
  </si>
  <si>
    <t xml:space="preserve">   -Escritório</t>
  </si>
  <si>
    <t xml:space="preserve">   -Fábrica em geral</t>
  </si>
  <si>
    <t>2.Ocupantes Temporários</t>
  </si>
  <si>
    <t xml:space="preserve">   -Alojamento provisório</t>
  </si>
  <si>
    <t xml:space="preserve">   -Hotel (exceto lavanderia e cozinha)  </t>
  </si>
  <si>
    <t>100*</t>
  </si>
  <si>
    <t xml:space="preserve">      Padrão baixo</t>
  </si>
  <si>
    <t xml:space="preserve">      Padrão médio</t>
  </si>
  <si>
    <t xml:space="preserve">      Padrão alto</t>
  </si>
  <si>
    <t xml:space="preserve">   -Residência: </t>
  </si>
  <si>
    <t>1.Ocupantes permanentes</t>
  </si>
  <si>
    <t>Fresco  ( Lf )</t>
  </si>
  <si>
    <t>Esgoto  ( C )</t>
  </si>
  <si>
    <t>Contribuição de Lodo</t>
  </si>
  <si>
    <t>Contribuição de</t>
  </si>
  <si>
    <t>Unidade</t>
  </si>
  <si>
    <t>P r é d i o</t>
  </si>
  <si>
    <t>TABELA 1 - Contribuição diária de esgoto ( C ) e de lodo fresco ( Lf ) por tipo de prédio e de ocupante</t>
  </si>
  <si>
    <t>Diâmetro interno mínimo = 1,10m</t>
  </si>
  <si>
    <t>( litros )</t>
  </si>
  <si>
    <t>de T.Séptico</t>
  </si>
  <si>
    <t>Até 6,0 m³ de volume útil - profundidade útil mínima de 1,20 m</t>
  </si>
  <si>
    <t>Quantidade</t>
  </si>
  <si>
    <t>Altura</t>
  </si>
  <si>
    <t>Diâmetro</t>
  </si>
  <si>
    <t>Altura ( Profundidade ) ( Tabela 4 )</t>
  </si>
  <si>
    <t>DIMENSÕES INTERNAS DO TANQUE SÉPTICO CILÍNDRICO</t>
  </si>
  <si>
    <t>Máximo= 4:1</t>
  </si>
  <si>
    <t>Mínimo = 2:1</t>
  </si>
  <si>
    <t>Relação Comprimento/largura:</t>
  </si>
  <si>
    <t>Largura</t>
  </si>
  <si>
    <t>Comprimento</t>
  </si>
  <si>
    <t>Largura Interna Mínima = 0,80m</t>
  </si>
  <si>
    <t>DIMENSÕES INTERNAS DO TANQUE SÉPTICO PRISMÁTICO</t>
  </si>
  <si>
    <t>V (litros)</t>
  </si>
  <si>
    <t>Lf</t>
  </si>
  <si>
    <t>K</t>
  </si>
  <si>
    <t>T</t>
  </si>
  <si>
    <t>C</t>
  </si>
  <si>
    <t>N</t>
  </si>
  <si>
    <t>Constante</t>
  </si>
  <si>
    <t>Lf = Contribuição de lodo fresco, em litro/pessoa x dia ou em litro/unidade x dia (Tabela 1)</t>
  </si>
  <si>
    <t xml:space="preserve">       lodo fresco (Tabela 3)</t>
  </si>
  <si>
    <t xml:space="preserve">K = Taxa de acumulação de lodo digerido em dias, equivalente ao tempo de acumulação de </t>
  </si>
  <si>
    <t>T = Período de detenção, em dias (Tabela 2)</t>
  </si>
  <si>
    <t>C = Contribuição de despejos, em litro/pessoa x dia ou litro/unidade x dia (Tabela 1)</t>
  </si>
  <si>
    <t>N = Número de pessoas ou unidades de contribuição</t>
  </si>
  <si>
    <t>V = Volume útil, em litros</t>
  </si>
  <si>
    <t xml:space="preserve"> ( ABNT/NBR/7229/93)</t>
  </si>
  <si>
    <t>V = 1000 + N ( CT + K Lf )</t>
  </si>
  <si>
    <t>DIMENSIONAMENTO DA FOSSA SÉPTICA</t>
  </si>
  <si>
    <t>Concreto fck = 15mpa, traço 1:3,4:3,5 (cimento/ areia média/ brita 1) - preparo manual. para a tampa</t>
  </si>
  <si>
    <t>Nota:      1 m³  =  1000 litros</t>
  </si>
  <si>
    <t xml:space="preserve"> sumidouro</t>
  </si>
  <si>
    <t>( m2 )</t>
  </si>
  <si>
    <t>perímetro</t>
  </si>
  <si>
    <t>h util</t>
  </si>
  <si>
    <t>Af</t>
  </si>
  <si>
    <t>considerando paredes laterais</t>
  </si>
  <si>
    <t>L (só fundo)</t>
  </si>
  <si>
    <t>quadrado</t>
  </si>
  <si>
    <t>D</t>
  </si>
  <si>
    <t>cilíndrico</t>
  </si>
  <si>
    <t>D = Diâmetro do sumidouro</t>
  </si>
  <si>
    <t>Af = Área de infiltração ( Área lateral )</t>
  </si>
  <si>
    <t>h = Altura do sumidouro (profundidade)</t>
  </si>
  <si>
    <t>Impermeável</t>
  </si>
  <si>
    <t>Argila compacta ou rocha</t>
  </si>
  <si>
    <t>Semi-imperm.</t>
  </si>
  <si>
    <t>Argila</t>
  </si>
  <si>
    <t>3,14 . D</t>
  </si>
  <si>
    <t>Vagarosa</t>
  </si>
  <si>
    <t>Argila arenosa</t>
  </si>
  <si>
    <t xml:space="preserve">                  h =</t>
  </si>
  <si>
    <t>Média</t>
  </si>
  <si>
    <t>Areia fina</t>
  </si>
  <si>
    <t>Rápida</t>
  </si>
  <si>
    <t>Areia grossa ou cascalho</t>
  </si>
  <si>
    <t>( l/m2/dia )</t>
  </si>
  <si>
    <t>relativa</t>
  </si>
  <si>
    <t>colação (Cp)</t>
  </si>
  <si>
    <t>Tipos de solo</t>
  </si>
  <si>
    <t>Absorção</t>
  </si>
  <si>
    <t>Coef. de Per-</t>
  </si>
  <si>
    <t>Cp</t>
  </si>
  <si>
    <t>Ve</t>
  </si>
  <si>
    <t>Tabela 5 - Absorção relativa do solo</t>
  </si>
  <si>
    <t>Cp = Coeficiente de percolação ( Tabela 5 )</t>
  </si>
  <si>
    <t>Ve = Volume de efluente ( N . C )</t>
  </si>
  <si>
    <t xml:space="preserve">                 Af = </t>
  </si>
  <si>
    <t xml:space="preserve">DIMENSIONAMENTO DE SUMIDOURO </t>
  </si>
  <si>
    <t>&gt;  90</t>
  </si>
  <si>
    <t>INSTRUÇÕES</t>
  </si>
  <si>
    <t>60 a 90</t>
  </si>
  <si>
    <t>40 a 60</t>
  </si>
  <si>
    <t>20 a 40</t>
  </si>
  <si>
    <t>&lt;   20</t>
  </si>
  <si>
    <t>4. Se o Cp &gt; 90, vá para a aba "7B. Sumidouro Arenoso"</t>
  </si>
  <si>
    <t>2. Após o teste realizado, inserir o valor do Cp na tabela abaixo, na célula de cor laranja.  A tabela calculará o volume do sumidouro automaticamente</t>
  </si>
  <si>
    <t>3. Se o 40 &lt; Cp &lt; 90, vá para a aba "7A. Sumidouro Argiloso"</t>
  </si>
  <si>
    <t>Tubo dreno, corrugado, espiralado, flexivel, perfurado, em polietileno de alta densidade (PEAD), DN 100 mm, (4") para drenagem - em rolo.**</t>
  </si>
  <si>
    <t>Lona Plastica instalada para impermeabilização</t>
  </si>
  <si>
    <t>Caixa de distribuição(dimensões conforme projeto), com tampa em concreto armado</t>
  </si>
  <si>
    <t>** O comprimento do tubo depende do comprimento da vala de infiltração a ser calculada pelo município.</t>
  </si>
  <si>
    <t>*** O comprimento do tubo depende da posição da fossa séptica  em relalção a caixa de distribuição e pode variar conforme o projeto</t>
  </si>
  <si>
    <t>1. Para o cálculo do volume do sumidouro, deve-se fazer o teste de percolação descrito no memorial descritivo e de cálculo.</t>
  </si>
  <si>
    <t>ÁREA LATERAL</t>
  </si>
  <si>
    <t>* Considerado Vala de 0,80m de profundidade e 1,00m de largura de fundo</t>
  </si>
  <si>
    <t>IMPORTANTE: É de inteira responsabilidade do município, onde houver necessidade de vala de infiltração, calcular a dimensão necessária para a eficiencia da vala.</t>
  </si>
  <si>
    <t>5. Cálculo da Área de Lona de cobrimento da Brita.</t>
  </si>
  <si>
    <t>Vb = AxC</t>
  </si>
  <si>
    <t>então, o volume de reaterro será:</t>
  </si>
  <si>
    <t>4. Volume de Recomposição de Terra.</t>
  </si>
  <si>
    <t>então, o volume de brita será:</t>
  </si>
  <si>
    <t>3. Volume de Brita.</t>
  </si>
  <si>
    <t>L = largura de fundo da vala</t>
  </si>
  <si>
    <t>A = Área de Infintração</t>
  </si>
  <si>
    <t>C = comprimento da Vala</t>
  </si>
  <si>
    <t>C = A/L</t>
  </si>
  <si>
    <t>Para Vala com largura de fundo de 1,00 metros, temos:</t>
  </si>
  <si>
    <r>
      <t>V</t>
    </r>
    <r>
      <rPr>
        <vertAlign val="subscript"/>
        <sz val="10"/>
        <rFont val="Arial"/>
        <family val="2"/>
      </rPr>
      <t>u</t>
    </r>
    <r>
      <rPr>
        <sz val="10"/>
        <rFont val="Arial"/>
        <family val="2"/>
      </rPr>
      <t xml:space="preserve"> = Volume útil, em litros</t>
    </r>
  </si>
  <si>
    <t>1. Determinação da Área de Infiltração.</t>
  </si>
  <si>
    <t>DIMENSIONAMENTO DA VALA DE INFILTRAÇÃO</t>
  </si>
  <si>
    <t>6. TANQUE SÉPTICO</t>
  </si>
  <si>
    <t>5. Se o Cp &lt; 40, vá para a aba "8. Cálculo Vala"</t>
  </si>
  <si>
    <t>1. Para o cálculo do volume da vala de infiltração, deve-se fazer o teste de percolação descrito no memorial descritivo e de cálculo.</t>
  </si>
  <si>
    <t>Vu</t>
  </si>
  <si>
    <r>
      <t>A</t>
    </r>
    <r>
      <rPr>
        <b/>
        <vertAlign val="subscript"/>
        <sz val="12"/>
        <rFont val="Arial"/>
        <family val="2"/>
      </rPr>
      <t>i</t>
    </r>
    <r>
      <rPr>
        <b/>
        <sz val="12"/>
        <rFont val="Arial"/>
        <family val="2"/>
      </rPr>
      <t xml:space="preserve"> = V</t>
    </r>
    <r>
      <rPr>
        <b/>
        <vertAlign val="subscript"/>
        <sz val="12"/>
        <rFont val="Arial"/>
        <family val="2"/>
      </rPr>
      <t>u</t>
    </r>
    <r>
      <rPr>
        <b/>
        <sz val="12"/>
        <rFont val="Arial"/>
        <family val="2"/>
      </rPr>
      <t>/Cp</t>
    </r>
  </si>
  <si>
    <r>
      <t>C</t>
    </r>
    <r>
      <rPr>
        <vertAlign val="subscript"/>
        <sz val="10"/>
        <rFont val="Arial"/>
        <family val="2"/>
      </rPr>
      <t>p</t>
    </r>
    <r>
      <rPr>
        <sz val="10"/>
        <rFont val="Arial"/>
        <family val="2"/>
      </rPr>
      <t xml:space="preserve"> = Coeficiente de percolação do solo</t>
    </r>
  </si>
  <si>
    <t>C=</t>
  </si>
  <si>
    <t>Af =</t>
  </si>
  <si>
    <t>Largura =</t>
  </si>
  <si>
    <t>Altura =</t>
  </si>
  <si>
    <t>Comp. =</t>
  </si>
  <si>
    <t>A = (Larg.xAlt.)/2</t>
  </si>
  <si>
    <t>A = (1,00)*0,80/2</t>
  </si>
  <si>
    <r>
      <t>A = 0,40m</t>
    </r>
    <r>
      <rPr>
        <b/>
        <i/>
        <vertAlign val="superscript"/>
        <sz val="10"/>
        <rFont val="Arial"/>
        <family val="2"/>
      </rPr>
      <t>2</t>
    </r>
  </si>
  <si>
    <t xml:space="preserve">Vb = </t>
  </si>
  <si>
    <t>metro</t>
  </si>
  <si>
    <t>A = 1,00 X C</t>
  </si>
  <si>
    <t xml:space="preserve">A = </t>
  </si>
  <si>
    <t>* Para fins construtivos, se a vala tiver um comprimento muito longo, pode-se dividir em mais valas de comprimento menor, desde que respeitadas a área de infiltração e as distâncias entre valas e obstáculos previstas em norma.</t>
  </si>
  <si>
    <t>2. Determinação do Comprimento da Vala prismática</t>
  </si>
  <si>
    <t>metros de comprimento</t>
  </si>
  <si>
    <t>3. Vá para a aba "6A. Fossa"</t>
  </si>
  <si>
    <t>2. Os valores de K estão disponíveis na tabela 3;</t>
  </si>
  <si>
    <t>Chapisco aplicado em alvenaria (com presença de vãos) e estruturas de concreto de fachada, com colher de pedreiro. Argamassa traço 1:3 com preparo manual.</t>
  </si>
  <si>
    <t>2. Após o teste realizado, inserir o valor do Cp na tabela abaixo, na célula de cor laranja.  A tabela calculará a área de infiltração, considerando um volume de 400m³</t>
  </si>
  <si>
    <t>3. Vá para a aba "8. Cálculo"</t>
  </si>
  <si>
    <t>1. Para calcular o orçamento da fossa séptica, Basta inserir o valor de K, nas células de cor laranja.</t>
  </si>
  <si>
    <t>Atenção: para preencher a planilha basta buscar o código na tabela SINAPI e colocar o preço do item na coluna "Valor Unit. (R$)". A planilha está programada para calcular tudo automaticamente.</t>
  </si>
  <si>
    <t>kg</t>
  </si>
  <si>
    <t>Carpinteiro de formas com encargos complementares</t>
  </si>
  <si>
    <t>4.3</t>
  </si>
  <si>
    <t>Revestimento cerâmico para paredes internas com placas tipo esmaltada padrão popular de dimensões 20x20 cm, argamassa tipo AC I, aplicadas e m ambientes de área menor que 5 m2 na altura inteira das paredes</t>
  </si>
  <si>
    <t>Cimento portland composto CP II-32</t>
  </si>
  <si>
    <t>SINAPI</t>
  </si>
  <si>
    <t>10. PLACA DE OBRA</t>
  </si>
  <si>
    <t>OBRA:</t>
  </si>
  <si>
    <t>Fornecimento e lançamento de brita n° 4</t>
  </si>
  <si>
    <t>Reaterro manual apiloado com soquete</t>
  </si>
  <si>
    <t>JANELA70X40</t>
  </si>
  <si>
    <t>PORTA 70X210</t>
  </si>
  <si>
    <t>Parede 4 Externo</t>
  </si>
  <si>
    <t>Parede 2  Externo</t>
  </si>
  <si>
    <t>h médio</t>
  </si>
  <si>
    <t>Parede 1 e 3 Externo</t>
  </si>
  <si>
    <t>M2</t>
  </si>
  <si>
    <t>Parede 4 Interno</t>
  </si>
  <si>
    <t>Parede 2 Interno</t>
  </si>
  <si>
    <t>Parede 1 e 3 Interno</t>
  </si>
  <si>
    <t>P2 e P3</t>
  </si>
  <si>
    <t>P1</t>
  </si>
  <si>
    <t>Parede 4</t>
  </si>
  <si>
    <t xml:space="preserve">Parede 2 </t>
  </si>
  <si>
    <t>Parede 1 e 3</t>
  </si>
  <si>
    <t>Obs:</t>
  </si>
  <si>
    <t>Rep.</t>
  </si>
  <si>
    <t>Larg. (m)</t>
  </si>
  <si>
    <t>Comp. (m)</t>
  </si>
  <si>
    <t>Memória de cálculo</t>
  </si>
  <si>
    <t>QUANT.</t>
  </si>
  <si>
    <t>UND</t>
  </si>
  <si>
    <t>DESCRIÇÃO</t>
  </si>
  <si>
    <t>ITEM</t>
  </si>
  <si>
    <t>MEMORIAL DE CÁLCULO - ORÇAMENTO MODELO MSD FUNASA</t>
  </si>
  <si>
    <t>Escavação manual de vala com profundidade menor ou igual a 1,30 m</t>
  </si>
  <si>
    <t>Concreto FCK=15MPA, preparo com betoneira, traço 1;3,5;3,4 (Cimento/Areia/Brita 1)</t>
  </si>
  <si>
    <t xml:space="preserve">Alvenaria de Vedação de Blocos Cerâmicos Furados na horizontal de 9x14x19 cm ( Espessura 9 cm) em paredes </t>
  </si>
  <si>
    <t>Massa única, para recebimento de pintura, em argamassa traço 1:2:8, preparo manual, aplicada manualmente em faces internas de paredes, espessura de 20mm, com execução de taliscas.</t>
  </si>
  <si>
    <t>Forro de PVC em placas com largura de 10 cm, espessura 8 mm, comp. 6,0 m, liso, parte interna , ( inclusive colocação)</t>
  </si>
  <si>
    <t>Lastro de brita n°2 apiloada manualmente, espessura 5 cm (piso interno e externo)</t>
  </si>
  <si>
    <t>Aplicação manual de pintura interna com tinta acrílica, duas demãos</t>
  </si>
  <si>
    <t>Aplicação Manual de Pintura externa com Tinta Acrílica, 2 demãos</t>
  </si>
  <si>
    <t>M3</t>
  </si>
  <si>
    <t xml:space="preserve">Massa única, para recebimento de pintura, em argamassa traço 1:2:8, preparo manual, aplicada manualmente em faces internas de paredes, espessura de 20mm, com execução de taliscas. </t>
  </si>
  <si>
    <t xml:space="preserve"> ITEM</t>
  </si>
  <si>
    <t>M</t>
  </si>
  <si>
    <t>Rodaforro em PVC</t>
  </si>
  <si>
    <t>5.3</t>
  </si>
  <si>
    <t>Tubo PVC, serie normal, esgoto predial, dn 100 mm, fornecido e instalado em ramal de descarga ou ramal de esgoto sanitário.</t>
  </si>
  <si>
    <t xml:space="preserve">Lastro de concreto magro, aplicado em pisos ou radiers, espessura de 5 cm. </t>
  </si>
  <si>
    <t>Armação aço CA-50 p/1,0m³ de concreto</t>
  </si>
  <si>
    <t>Lançamento/aplicação manual de concreto em fundações- para a tampa</t>
  </si>
  <si>
    <t>Armação aço CA-50 p/1,30m³ de concreto - para a tampa</t>
  </si>
  <si>
    <t>Lançamento/aplicação manual de concreto em fundações/tampa.</t>
  </si>
  <si>
    <t>--</t>
  </si>
  <si>
    <t>Tanque de concreto com pé e esfregadeira (padrão popular) ou equivalente, incluso sifão, valvula e torneira metálica.</t>
  </si>
  <si>
    <t>Cotação</t>
  </si>
  <si>
    <t>1379*</t>
  </si>
  <si>
    <t>Porta em chapa metálica (0,70 m x 2,10 m), de abrir, tipo veneziana, guarnição, dobradiça e fechadura inclusa  (Fornecimento e instalação).</t>
  </si>
  <si>
    <t xml:space="preserve">7 - A. SUMIDOURO (Sem grelha de tijolos, para solo ARGILOSO) </t>
  </si>
  <si>
    <t>Bloco ceramico  9 x 14 x 19 cm (6 furos).</t>
  </si>
  <si>
    <t>Placa de Obra (Modelo FUNASA)</t>
  </si>
  <si>
    <t>MUNICIPIO:</t>
  </si>
  <si>
    <t xml:space="preserve">7-B. SUMIDOURO (Com grelha de tijolos, para solo ARENOSO) </t>
  </si>
  <si>
    <t>Sumidouro com revestimento em tijolo ceramico (dimensões conforme projeto)</t>
  </si>
  <si>
    <t>Placa de obra em chapa galvanizada nº 22, nas dimensões 2,00x1,50 m, colocada.</t>
  </si>
  <si>
    <t>Já dimencionado no Projeto Padrão.</t>
  </si>
  <si>
    <t>CONVÊNIO:</t>
  </si>
  <si>
    <t>SINAPI:</t>
  </si>
  <si>
    <t>H (m)</t>
  </si>
  <si>
    <t>Area Molhada Revestida com Ceramica</t>
  </si>
  <si>
    <t>MÓDULO SANITÁRIO</t>
  </si>
  <si>
    <t>un.</t>
  </si>
  <si>
    <t>UD.</t>
  </si>
  <si>
    <t>C 0001</t>
  </si>
  <si>
    <t>C 0002</t>
  </si>
  <si>
    <t>C 0003</t>
  </si>
  <si>
    <t>C 0004</t>
  </si>
  <si>
    <t>C 0005</t>
  </si>
  <si>
    <t>C 0006</t>
  </si>
  <si>
    <t>8.2</t>
  </si>
  <si>
    <t>7.4</t>
  </si>
  <si>
    <t>Composições</t>
  </si>
  <si>
    <t xml:space="preserve">Cod. Sinapi* </t>
  </si>
  <si>
    <t>7267*</t>
  </si>
  <si>
    <t>1607*</t>
  </si>
  <si>
    <t>4299*</t>
  </si>
  <si>
    <t>7194*</t>
  </si>
  <si>
    <t>Tanque Séptico (dimensões conforme projeto)</t>
  </si>
  <si>
    <t xml:space="preserve">Como referencia de cálculo foi usado o volume de efluente líquido vindo da fossa. (1615 litros) </t>
  </si>
  <si>
    <t>Limpeza manual de vegetação em terreno com enxada</t>
  </si>
  <si>
    <t>Escavação manual de vala para viga baldrame (incluindo escavação para colocação de fôrmas)</t>
  </si>
  <si>
    <t xml:space="preserve">Fabricação, montagem e desmontagem de forma para viga baldrame, em madeira serrada, e=25 mm, 4 utilizações - AF_06/2017. </t>
  </si>
  <si>
    <t>Concreto FCK = 15 MPA -  Traço 1:3,4:3,5 (em massa seca de cimento / areia média / brita 1) - preparo mecanico com betoneira 400 l. AF 05/2021.</t>
  </si>
  <si>
    <t>Armação de bloco, viga baldrame ou sapata utilizando aço CA-50 de 8 mm, montagem  - AF_12/2015.</t>
  </si>
  <si>
    <t>corrigido</t>
  </si>
  <si>
    <t>corrigido 15 x 20</t>
  </si>
  <si>
    <t>Com acrescimo 10%</t>
  </si>
  <si>
    <t>Massa única, para recebimento de pintura, em argamassa traço 1:2:8, preparo manual, aplicada manualmente em faces internas de paredes, espessura de 20mm, com execução de taliscas. AF_06/20014.</t>
  </si>
  <si>
    <t>Ajudante de carpinteiro com encargos complementares</t>
  </si>
  <si>
    <t>Sarrafo madeira não aparelhada *2,5 x 7,5* cm (1 x 3 ") Pinus, mista ou equivalente da região</t>
  </si>
  <si>
    <t>Prego de aço polido com cabeça 17 x  21 (2 x 11).</t>
  </si>
  <si>
    <t>Locação convencional da obra, através de gabarito de sarrafos/tábuas corridas pontaletadas com  reaproveitamento</t>
  </si>
  <si>
    <t>Locação convencional da obra, através de gabarito de sarrafos/tábuas corridas pontaletadas com reaproveitamento</t>
  </si>
  <si>
    <t>Alvenaria de Vedação de Blocos Cerâmicos Furados na horizontal de 9x14x19 cm (espessura 9 cm) de paredes com area liquida maior ou igual a 6 m2 sem vão e argamassa de assentamento com preparo manual. AF_06/2014.</t>
  </si>
  <si>
    <t xml:space="preserve">Vidraceiro com encargos complementares  </t>
  </si>
  <si>
    <t>Massa para vidro.</t>
  </si>
  <si>
    <t>Servente com encargos complementares.</t>
  </si>
  <si>
    <t>Area total (Coberta).</t>
  </si>
  <si>
    <t>Porta em chapa metálica (0,70 m x 2,10 m), de abrir, tipo veneziana com requadro e guarnição, dobradiça, fechadura e pintura/fundo anticorrosivo (fornecimento e instalação).</t>
  </si>
  <si>
    <t>Caibro não aparelhado 5 x 5 cm, em pinus, mista ou equivalenteda região - Bruta.</t>
  </si>
  <si>
    <t>4513*</t>
  </si>
  <si>
    <t>Telha de fibrocimento ondulada, e=6mm, 2,44 x 1,10 m - A= 2,68 M2 (3 unidades).</t>
  </si>
  <si>
    <t>Area util - telha ondulada 6 mm, 2,56 m2 (2,44 x 1,10 m).</t>
  </si>
  <si>
    <t xml:space="preserve">Vidro liso incolor, espessura 4 mm, fornecimento e instalação, inclusive massa para vedação. </t>
  </si>
  <si>
    <t>Vidro liso incolor, e= 4mm - sem colocação.</t>
  </si>
  <si>
    <t>Vidro liso incolor, espessura 4 mm</t>
  </si>
  <si>
    <t>Porta em aço ou metalon sem referencia no SINAPI.</t>
  </si>
  <si>
    <t>Aplicação interna</t>
  </si>
  <si>
    <t>Aplicação externa.</t>
  </si>
  <si>
    <t>Lançamento/aplicação manual de concreto em fundações.</t>
  </si>
  <si>
    <t>PARA CAIBRO 2"X2" - 5X5 CM. - VIGA 2"X4" 5X10CM SEM REFERENCIA SINAPI.</t>
  </si>
  <si>
    <t>RETIRAR</t>
  </si>
  <si>
    <t>Codigo 95241 - M2</t>
  </si>
  <si>
    <t>Houve mudanças na metragem/volumes calculados (M3).</t>
  </si>
  <si>
    <t>Pintura tinta de acabamento (pigmentada) esmalte sintetico fosco em madeira, 2 demãos - AF_01/2021.</t>
  </si>
  <si>
    <t xml:space="preserve">Telhamento com telha ondulada de fibrocimento e=6 mm, incluindo madeirame, junta de vedação e acessorios, conforme projeto. </t>
  </si>
  <si>
    <t>9.1</t>
  </si>
  <si>
    <t>9.2</t>
  </si>
  <si>
    <t>Pintura com tinta alalquidia de acabamento (esmalte sintetico fosco) aplicada a rolo ou pincel sobre superficies metálicas (exceto perfil) executado em obra, 02 demãos - AF 01/2020.</t>
  </si>
  <si>
    <t>Sifão do tipo flexivel em PVC 1 X 1.1/2. Fornecimento e instalação. - AF_01/2020</t>
  </si>
  <si>
    <t>Valvula em plastico 1" para tanque. Fornecimento e instalação.AF_01/2020.</t>
  </si>
  <si>
    <t xml:space="preserve">Tanque de concreto com esfregadeira (padrão popular), com pés de apoio, sem revestimento - Capac. min. 30 L. </t>
  </si>
  <si>
    <t>Torneira cromada 1/2" 0u 3/4", para tanque, padrão popular - Fornecimento e instalação - AF_01/2020.</t>
  </si>
  <si>
    <t>Escavação manual de vala com profundidade menor ou igual a 1,30 m. AF_02/2021.</t>
  </si>
  <si>
    <t>Argamassa traço 1:4 (em volume de cimento em areia media única), preparo mecânico com betoneira 400 l. - AF_08/2014.</t>
  </si>
  <si>
    <t>Argamassa traço 1:2:8 (cimento, cal e areia média) para emboço/massa única/assentamento de alvenaria de vedação, preparo mecânico com misturador de eixo horizontal de 300 kg. AF_08/2019.</t>
  </si>
  <si>
    <t>Caixa de Inpeção/passagem em alvenaria de tijolos (9x14x19) com dimensões internas de 60x60x60, revestida internamento com barra lisa (cimento e areia, traço 1:4, ESP.=2,0 cm, com tampa pré-moldada de concreto (90x90x5cm) e fundo de concreto 15 mpa (Material/Execução) -  Conforme projeto.</t>
  </si>
  <si>
    <t>Lançamento com uso de baldes, adensamento e acabamento de concreto em estruturas. - AF_ 12/2015.</t>
  </si>
  <si>
    <t xml:space="preserve">Peça retangular pré-moldada, volume de concreto de até 30 a 100 litros, taxa de aço aproximada de 30 kg/m3. - AF_01/2018 - Tampa em concreto 85x85x5 cm. </t>
  </si>
  <si>
    <t>A RETIRAR</t>
  </si>
  <si>
    <t xml:space="preserve">Peça circular pré-moldada, volume de concreto acima de 100 litros, taxa de aço aproximada de 30 kg/m3. - AF_01/2018 - Tampa circular em concreto d=1,52m - esp. 6 cm (Conforme projeto). </t>
  </si>
  <si>
    <t>6A.1</t>
  </si>
  <si>
    <t>FOSSA SÉPTICA</t>
  </si>
  <si>
    <t>Altura (m)</t>
  </si>
  <si>
    <t>m3</t>
  </si>
  <si>
    <t>Execução de tijolos de uma vez.</t>
  </si>
  <si>
    <t>Ø</t>
  </si>
  <si>
    <t>3,1416*F4*F4/4</t>
  </si>
  <si>
    <t>1.1.1</t>
  </si>
  <si>
    <t>3,1416*F10*F10/4</t>
  </si>
  <si>
    <r>
      <t xml:space="preserve">Alvenaria de vedação de blocos cerâmicos furados na horizontal de </t>
    </r>
    <r>
      <rPr>
        <b/>
        <sz val="10"/>
        <rFont val="Arial"/>
        <family val="2"/>
      </rPr>
      <t>9x14 x19cm</t>
    </r>
    <r>
      <rPr>
        <sz val="10"/>
        <rFont val="Arial"/>
        <family val="2"/>
      </rPr>
      <t xml:space="preserve"> (espessura 9cm) de paredes com área líquida menor que 6m² sem vã os e argamassa de assentamento com preparo manual. </t>
    </r>
  </si>
  <si>
    <t xml:space="preserve">DIAMETRO MÉDIO </t>
  </si>
  <si>
    <t>PERIMETRO</t>
  </si>
  <si>
    <t>AREA TOTAL 1</t>
  </si>
  <si>
    <r>
      <t xml:space="preserve">Alvenaria de vedação de blocos cerâmicos furados na horizontal de </t>
    </r>
    <r>
      <rPr>
        <b/>
        <sz val="10"/>
        <rFont val="Arial"/>
        <family val="2"/>
      </rPr>
      <t>14x9 x19cm</t>
    </r>
    <r>
      <rPr>
        <sz val="10"/>
        <rFont val="Arial"/>
        <family val="2"/>
      </rPr>
      <t xml:space="preserve"> (espessura 14cm, bloco deitado) de paredes com área líquida menor que 6m² sem vãos e argamassa de assentamento com preparo manual.</t>
    </r>
  </si>
  <si>
    <t>AREA TOTAL 2</t>
  </si>
  <si>
    <t xml:space="preserve">AREA EXTERNA DO ANEL </t>
  </si>
  <si>
    <t xml:space="preserve">Chapisco aplicado em alvenaria.  Argamassa traço 1:3 com preparo manual. </t>
  </si>
  <si>
    <t>DIAMETRO INTERNO L1</t>
  </si>
  <si>
    <t>ALT. L1 = 1,73+0,50 (ANEL)</t>
  </si>
  <si>
    <t>AREA TOTAL L1</t>
  </si>
  <si>
    <t>DIAMETRO EXTERNO L2</t>
  </si>
  <si>
    <t>PERIMETRO L2</t>
  </si>
  <si>
    <t>ALTURA L2</t>
  </si>
  <si>
    <t>ALT. L2 = 0,50</t>
  </si>
  <si>
    <t>DIAMETRO MÉDIO L3</t>
  </si>
  <si>
    <t>PERIMETRO L3</t>
  </si>
  <si>
    <t>LARGURA L3</t>
  </si>
  <si>
    <t>Largura da face L3</t>
  </si>
  <si>
    <t>AREA TOTAL L3</t>
  </si>
  <si>
    <t>]]</t>
  </si>
  <si>
    <t>AREA TOTAL (L1+L2+A L3)</t>
  </si>
  <si>
    <t>SOMATÓRIA (L1+L2+L3)</t>
  </si>
  <si>
    <t>AREA TOTAL</t>
  </si>
  <si>
    <t>No calculo, já esta considerado o concreto.</t>
  </si>
  <si>
    <t>3,1416*D53*D53/4</t>
  </si>
  <si>
    <t>VOLUME 01 - TAMPA DE CONCERETO - ARMADO</t>
  </si>
  <si>
    <t>DIAMETRO</t>
  </si>
  <si>
    <t>ESPESSURA</t>
  </si>
  <si>
    <t xml:space="preserve">AREA </t>
  </si>
  <si>
    <t>3,1416*F58*F58/4</t>
  </si>
  <si>
    <t>VOLUME</t>
  </si>
  <si>
    <t>TOTAL (1)</t>
  </si>
  <si>
    <t>1.8.1</t>
  </si>
  <si>
    <t>VOLUME 02 - PREPARO DA BASE / F.SÉPTICA</t>
  </si>
  <si>
    <t>3,1416*1,55*1,55/4</t>
  </si>
  <si>
    <t>TOTAL (2)</t>
  </si>
  <si>
    <t>VOLUME DA BASE.</t>
  </si>
  <si>
    <t>TOTAL (1+2)</t>
  </si>
  <si>
    <t>LANÇAMENTO DOS 2 VOLUMES (M3)</t>
  </si>
  <si>
    <t>SOMENTE TAMPA = J62</t>
  </si>
  <si>
    <t>Atenção: Para calculo de areas e volumes para quantitativos, execução da Fossa Séptica, basta preencher os campos (celulas) na cor cinza para calculos automaticos de todos os itens da planilha orçamentaria (ABA 6.A Fossa Séptica).</t>
  </si>
  <si>
    <t>7A.1</t>
  </si>
  <si>
    <t>SUMIDOURO - SOLO ARGILOSO  (Cp= 35 l/m2/dia)</t>
  </si>
  <si>
    <t>Espessura da parede</t>
  </si>
  <si>
    <t>Diametro médio a ser considerado</t>
  </si>
  <si>
    <t>Perimetro do diametro médio considerado</t>
  </si>
  <si>
    <t>2*3,1416*F27/2</t>
  </si>
  <si>
    <t>Area total da parede</t>
  </si>
  <si>
    <t>Area do anel</t>
  </si>
  <si>
    <t xml:space="preserve">2*3,1416*F34/2 </t>
  </si>
  <si>
    <t>Diametro externo L2</t>
  </si>
  <si>
    <t>Diametro médio L3</t>
  </si>
  <si>
    <t xml:space="preserve">2*3,1416*F32/2 </t>
  </si>
  <si>
    <t>D44 * G45</t>
  </si>
  <si>
    <t>Tampa em concreto</t>
  </si>
  <si>
    <t>Diametro da tampa</t>
  </si>
  <si>
    <t>Area total da tampa</t>
  </si>
  <si>
    <t>3,1416*F49*F49/4</t>
  </si>
  <si>
    <t>Espessura da tampa - conforme projeto</t>
  </si>
  <si>
    <t xml:space="preserve">TOTAL </t>
  </si>
  <si>
    <t>Igual item 1.6</t>
  </si>
  <si>
    <t>Atenção: Para calculo de areas e volumes para quantitativos, execução do Sumidouro para SOLO ARGILOSO, basta preencher os campos (celulas) na cor cinza para calculos automaticos de todos os itens da planilha orçamentaria (ABA 7A. Sum. S. Argiloso).</t>
  </si>
  <si>
    <t>MEMORIAL DE CÁLCULO DO MÓDULO SANITÁRIO - SUMIDOURO</t>
  </si>
  <si>
    <t xml:space="preserve">7B.1 </t>
  </si>
  <si>
    <t>SUMIDOURO - SOLO ARENOSO  (Cp= 65 l/m2/dia).</t>
  </si>
  <si>
    <t>Transcrição/Resultado                                      Diametro interno e profundidade, estabelecido a partir do calculo, a ser realizado (Planilha/Tabela).</t>
  </si>
  <si>
    <t>Espessura da parede a ser utilizada.</t>
  </si>
  <si>
    <t>Espessura do Tijolo.</t>
  </si>
  <si>
    <t xml:space="preserve">Não é uma variavel (Anel=0,60-0,14). </t>
  </si>
  <si>
    <t>Perimetro da area de escavação.</t>
  </si>
  <si>
    <t>2*3,1416*F30/2</t>
  </si>
  <si>
    <r>
      <t xml:space="preserve">Alvenaria de vedação de blocos cerâmicos furados na horizontal de </t>
    </r>
    <r>
      <rPr>
        <b/>
        <sz val="10"/>
        <rFont val="Arial"/>
        <family val="2"/>
      </rPr>
      <t xml:space="preserve">14x9x19cm </t>
    </r>
    <r>
      <rPr>
        <sz val="10"/>
        <rFont val="Arial"/>
        <family val="2"/>
      </rPr>
      <t>(espessura 14cm, bloco deitado) de paredes com área líquida menor que 6m² sem vãos e argamassa de assentamento com preparo manual.</t>
    </r>
  </si>
  <si>
    <t>Diametro médio para calculo - Alvenaria.</t>
  </si>
  <si>
    <t>Perimetro da area considerada.</t>
  </si>
  <si>
    <t>2*3,1416*F24/2</t>
  </si>
  <si>
    <t>Altura total do Anel de apoio da tampa.</t>
  </si>
  <si>
    <t>Altura total do anel, total</t>
  </si>
  <si>
    <t>Area total a ser considerada.</t>
  </si>
  <si>
    <t>Perimetro da area considerada L1</t>
  </si>
  <si>
    <t>Altura do anel L1</t>
  </si>
  <si>
    <t>Area total - Chapisco L1</t>
  </si>
  <si>
    <t>Perimetro x Altura do anel.</t>
  </si>
  <si>
    <t>Perimetro da area considerada L2</t>
  </si>
  <si>
    <t>Area total - Chapisco L2</t>
  </si>
  <si>
    <t>Perimetro da area considerada L3</t>
  </si>
  <si>
    <t xml:space="preserve">2*3,1416*F42/2 </t>
  </si>
  <si>
    <t>Largura da area (Espessura da parede) L3</t>
  </si>
  <si>
    <t>Espessura da parede = 0,14 m</t>
  </si>
  <si>
    <t>Area total - Chapisco L3</t>
  </si>
  <si>
    <t>Area</t>
  </si>
  <si>
    <t>Espessura da tampa</t>
  </si>
  <si>
    <t>Atenção: Para calculo de areas e volumes para quantitativos, execução do Sumidouro para SOLO ARENOSO, basta preencher os campos (celulas) na cor cinza para calculos automaticos de todos os itens da planilha orçamentaria (ABA 7B. Sum. S. Arenoso).</t>
  </si>
  <si>
    <t>4. Para uso/execução de Vala de Infiltração observar os criterios para o niveis do lençol freático.</t>
  </si>
  <si>
    <t>Dimensionado - Projeto Padrão com Cp=35 l/m2/dia (Solo Argiloso) e Cp=65 l/m2/dia (Solo Arenoso)</t>
  </si>
  <si>
    <t>Cp = Obtido em campo.</t>
  </si>
  <si>
    <t>Preencher valor (subst. valor 1)</t>
  </si>
  <si>
    <t>Calculo automativo.</t>
  </si>
  <si>
    <t>Obs.: Coeficientes, diferentes para tipos de solo.</t>
  </si>
  <si>
    <t xml:space="preserve">MEMORIAL DE CÁLCULO - MÓDULO SANITÁRIO - VALA DE INFILTRAÇÃO - TIPO 01. </t>
  </si>
  <si>
    <t>8A. VALA DE INFILTRAÇÃO (Solo Argiloso - Cp= 35 l/m2/dia.)</t>
  </si>
  <si>
    <t>Vala de infiltração (Calculo Planilha/Tabela).)</t>
  </si>
  <si>
    <t>Transcrição/Resultado - Calculo executado - Planilha/Tabela.</t>
  </si>
  <si>
    <t>Vala de infiltração - Area de infiltração calculada.</t>
  </si>
  <si>
    <t>Comprimento da vala</t>
  </si>
  <si>
    <t>Profundidade da vala</t>
  </si>
  <si>
    <t>Largura da vala</t>
  </si>
  <si>
    <t>Volume de brita a ser utilizada.</t>
  </si>
  <si>
    <t>Volume da escavação.</t>
  </si>
  <si>
    <t>Comprimento 1</t>
  </si>
  <si>
    <t>Volume (1)</t>
  </si>
  <si>
    <t>Abertura de vala para assentamento de Tubo em PVC DN 100 - Liso.</t>
  </si>
  <si>
    <t>Volume</t>
  </si>
  <si>
    <t>Codigo SINAPI: 6514</t>
  </si>
  <si>
    <t xml:space="preserve">Comprimento </t>
  </si>
  <si>
    <t xml:space="preserve">Area de reaterro </t>
  </si>
  <si>
    <t>Volume de reaterro</t>
  </si>
  <si>
    <t>Insumo -Codigo SINAPI 38052</t>
  </si>
  <si>
    <t>Tubo PVC serie normal, DN 100 mm, para esgoto predial (NBR 5688).</t>
  </si>
  <si>
    <t>* Considerado Vala com dimensões de : 1,00 m de larguara e 0,80m de profundidade, fundo 1,00m de largura.</t>
  </si>
  <si>
    <t>Nota: Para dimenões superiores, apresentar projeto para analise e aprovação.</t>
  </si>
  <si>
    <t>** O comprimento da vala (m), depende do espaço fisico existente, podendo ser dividido em duas ou mais valas.</t>
  </si>
  <si>
    <t>*** Observar posisionamento da fossa séptica  em relalção a caixa de distribuição que pode variar conforme posicionamento das unidades, ver situação de cada area.</t>
  </si>
  <si>
    <t>Como referencia de cálculo foi usado o volume de efluente líquido vindo da fossa - VER MEMORIAL DESCRITIVO.</t>
  </si>
  <si>
    <t>8. VALA DE INFILTRAÇÃO - SOLO ARENOSO (Cp=65 l/m2/dia).</t>
  </si>
  <si>
    <t>Reaterro manual apiloado com soquete.</t>
  </si>
  <si>
    <t>C 0008</t>
  </si>
  <si>
    <t xml:space="preserve">MEMORIAL DE CÁLCULO - MÓDULO SANITÁRIO - VALA DE INFILTRAÇÃO       </t>
  </si>
  <si>
    <t>8B. VALA DE INFILTRAÇÃO (Solo Argiloso - Cp= 65 l/m2/dia).</t>
  </si>
  <si>
    <t>Volume (2)</t>
  </si>
  <si>
    <t>Total (1+2)</t>
  </si>
  <si>
    <t>Atenção: Para calculo de areas e volumes para quantitativos, execução do Sumidouro para SOLO ARGILOSO, basta preencher os campos (celulas) na cor cinza para calculos automaticos de todos os itens da planilha orçamentaria (ABA 8B.1 Vala de Infilt. S. Aren.).</t>
  </si>
  <si>
    <t>Escavação Manual de Vala com profundidade menor ou igual a 1,30 m.</t>
  </si>
  <si>
    <t>Calculo revisado em Fev./2022</t>
  </si>
  <si>
    <t>C 0007</t>
  </si>
  <si>
    <t>DIAMETRO TOTAL DA ESCAVAÇÃO (E1)</t>
  </si>
  <si>
    <t>PROFUNDIDADE DE ESCAVAÇÃO (E1)</t>
  </si>
  <si>
    <t>VOLUME 1 (E1)</t>
  </si>
  <si>
    <t>AREA DE ESCAVAÇÃO (E1)</t>
  </si>
  <si>
    <t>AREA DE ESCAVAÇÃO (E2)</t>
  </si>
  <si>
    <t>PROFUNDIDADE DE ESCAVAÇÃO (E2)</t>
  </si>
  <si>
    <t>PROFUNDIDADE TOTAL DE ESCAVAÇÃO (E1+E2)</t>
  </si>
  <si>
    <t>Escavação manual de vala com profundidade menor ou igual a 1,30 m. - AF_02/2021.</t>
  </si>
  <si>
    <t xml:space="preserve">Obs.: A altura/Profundidade esta diratamente ligada a altura de entrada e saida do tubo. </t>
  </si>
  <si>
    <t>2*3,1416*D21/2</t>
  </si>
  <si>
    <t>1,25+0,14+0,04</t>
  </si>
  <si>
    <t>DIAMETRO MÉDIO</t>
  </si>
  <si>
    <t>ALTURA 1</t>
  </si>
  <si>
    <t>ALTURA 2</t>
  </si>
  <si>
    <r>
      <t>2*3,1416*</t>
    </r>
    <r>
      <rPr>
        <b/>
        <sz val="10"/>
        <rFont val="Arial"/>
        <family val="2"/>
      </rPr>
      <t>F29</t>
    </r>
    <r>
      <rPr>
        <sz val="10"/>
        <rFont val="Arial"/>
        <family val="2"/>
      </rPr>
      <t>/2 (1,25+0.04)</t>
    </r>
  </si>
  <si>
    <t>PERIMETRO INTERNO L1</t>
  </si>
  <si>
    <t>Diam. util interno + esp. do chapisco/reboco.</t>
  </si>
  <si>
    <t>Apoio da tampa</t>
  </si>
  <si>
    <t>Anel/Apoio/tampa (Ǿ interno+ 2*esp. Parede).</t>
  </si>
  <si>
    <t>Informação adicional para calculo.</t>
  </si>
  <si>
    <t>ESPESSURA DO TIJOLO - ANEL DE APOIO DA TAMPA T2.</t>
  </si>
  <si>
    <t>ESPESSURA DO TIJOLO/PAREDE T1.</t>
  </si>
  <si>
    <t>ALTURA 1 (ITEM 1.2 + ITEM 1.3)</t>
  </si>
  <si>
    <r>
      <t>2*3,1416*</t>
    </r>
    <r>
      <rPr>
        <b/>
        <sz val="10"/>
        <rFont val="Arial"/>
        <family val="2"/>
      </rPr>
      <t>F51</t>
    </r>
    <r>
      <rPr>
        <sz val="10"/>
        <rFont val="Arial"/>
        <family val="2"/>
      </rPr>
      <t>/2 (L3=1,25+0,14)</t>
    </r>
  </si>
  <si>
    <t xml:space="preserve">2*3,1416*F46/2 </t>
  </si>
  <si>
    <t>DIAMETRO DA TAMPA</t>
  </si>
  <si>
    <t>ESPESSURA DA TAMPA</t>
  </si>
  <si>
    <t xml:space="preserve">VOLUME </t>
  </si>
  <si>
    <t xml:space="preserve">AREA TOTAL </t>
  </si>
  <si>
    <t xml:space="preserve">Peça circular pré-moldada, volume de concreto acima de 100 litros, taxa de aço aproximada de 30 kg/m3. - AF_01/2018 - Tampa circular em concreto d=1,48m - esp. 6 cm (Conforme projeto). </t>
  </si>
  <si>
    <r>
      <t xml:space="preserve">Abas laterais para lacre - ver </t>
    </r>
    <r>
      <rPr>
        <sz val="10"/>
        <rFont val="Calibri"/>
        <family val="2"/>
      </rPr>
      <t>Ǿ</t>
    </r>
    <r>
      <rPr>
        <sz val="10"/>
        <rFont val="Arial"/>
        <family val="2"/>
      </rPr>
      <t xml:space="preserve"> </t>
    </r>
  </si>
  <si>
    <t>Area de chapisco acrescida de 10%.</t>
  </si>
  <si>
    <t>DIAMETRO DE ESCAVAÇÃO - FUNDO</t>
  </si>
  <si>
    <t>CALCULO INSTANTANEO</t>
  </si>
  <si>
    <t>PREENCHER DADOS</t>
  </si>
  <si>
    <t>Area de escavação (E1)</t>
  </si>
  <si>
    <t>Profundidadde total de escavação (E2).</t>
  </si>
  <si>
    <t>Diametro interno a ser considerado (A1).</t>
  </si>
  <si>
    <t>Area de escavação (E2).</t>
  </si>
  <si>
    <t>Profundidade - Parcial 2</t>
  </si>
  <si>
    <t>3,1416*F6*F6/4</t>
  </si>
  <si>
    <t>Diametro interno do anel.</t>
  </si>
  <si>
    <t>Anel de apoio/base da tampa</t>
  </si>
  <si>
    <r>
      <t xml:space="preserve">Alvenaria de vedação de blocos cerâmicos furados na horizontal de </t>
    </r>
    <r>
      <rPr>
        <b/>
        <sz val="10"/>
        <rFont val="Arial"/>
        <family val="2"/>
      </rPr>
      <t>14x9x19cm</t>
    </r>
    <r>
      <rPr>
        <sz val="10"/>
        <rFont val="Arial"/>
        <family val="2"/>
      </rPr>
      <t xml:space="preserve"> (espessura 14 cm) de paredes com área líquida menor que 6m² sem vã os e argamassa de assentamento com preparo manual. </t>
    </r>
  </si>
  <si>
    <t>2*3,1416*F41/2</t>
  </si>
  <si>
    <t xml:space="preserve">2*3,1416*F44/2 </t>
  </si>
  <si>
    <t>Altura da camada prevista</t>
  </si>
  <si>
    <t>Volume Total</t>
  </si>
  <si>
    <t>Volume total da tampa.</t>
  </si>
  <si>
    <t>3,1416 * F61 * F61 / 4</t>
  </si>
  <si>
    <t>F42-((F24/3)*2)</t>
  </si>
  <si>
    <t>MEMORIAL DE CÁLCULO DO MÓDULO SANITÁRIO - FOSSA SÉPTICA - PADRÃO MSD 2021.</t>
  </si>
  <si>
    <t>MEMORIAL DE CÁLCULO DO MÓDULO SANITÁRIO - SUMIDOURO - PADRÃO MSD 2021.</t>
  </si>
  <si>
    <t>Escoramento de vala, tipo pontaleteamento, com profundidade de 1,50 a 3,00 m2, largura menor que 1,50 m. AF_08/2020.</t>
  </si>
  <si>
    <t>Profundidadde total de escavação.</t>
  </si>
  <si>
    <t>1.1.2</t>
  </si>
  <si>
    <t>Profundidadde total de escavação (E1+E2).</t>
  </si>
  <si>
    <t xml:space="preserve">Area total do perimetro </t>
  </si>
  <si>
    <t>Perimetro total (A1)</t>
  </si>
  <si>
    <t>Confecção dea tampa.</t>
  </si>
  <si>
    <t>Volume total da escavação (E1+E2)</t>
  </si>
  <si>
    <t>Lastro de concreto magro, aplicado em pisos ou radiers, espessura de 5 cm. - AF_07/2016.</t>
  </si>
  <si>
    <t>Enchimento de brita para dreno, lançamento manual. AF_07/2021.</t>
  </si>
  <si>
    <t>Sumidouro (dimensões conforme projeto).</t>
  </si>
  <si>
    <t>Escavação vertical - Area util de infiltração.</t>
  </si>
  <si>
    <t xml:space="preserve">Escavação vertical para anel de apoio/base da tampa. </t>
  </si>
  <si>
    <t>Area total</t>
  </si>
  <si>
    <t>3,1416 * F7 * F7 / 4</t>
  </si>
  <si>
    <t>Af = Área da fossa ou sumidouro ( Área lateral )</t>
  </si>
  <si>
    <t>35Quantidade</t>
  </si>
  <si>
    <t>a) Para o cálculo da área de infiltração deve ser considerada a área vertical interna do sumidouro abaixo da geratriz inferior da tubulação de lançamento do afluente no sumidouro. não considerar a area de superfície do fundo.</t>
  </si>
  <si>
    <t>-</t>
  </si>
  <si>
    <t>b) Distância mínima entre paredes dos poços múltiplos deve ser de 1,50m</t>
  </si>
  <si>
    <t>c) Altura útil do sumidouro deve ser determinada de modo a manter distância vertical mínima de 1,50m entre o fundo do poço e o nível máximo aqüífero</t>
  </si>
  <si>
    <t>Notas:</t>
  </si>
  <si>
    <t>Diam. Total a ser considerado para escavação (E1).</t>
  </si>
  <si>
    <t>F7 + F10 (Tijolo) + 0,05 cm (2,5 cm/laterais).</t>
  </si>
  <si>
    <t>Area de escavação (E1).</t>
  </si>
  <si>
    <t>F7*3,1416*F7/2</t>
  </si>
  <si>
    <t>Diametro interno - Adotado (A1).</t>
  </si>
  <si>
    <t>Profundidade util - Adotada (A1).</t>
  </si>
  <si>
    <t>Perimetro do diametro - Adotado (A1)</t>
  </si>
  <si>
    <t>Area de infiltração/Calculo (A1).</t>
  </si>
  <si>
    <t>Calc. Diametro /profundidade adortado (A1).</t>
  </si>
  <si>
    <t>Perimetro da area de escavação (E1)</t>
  </si>
  <si>
    <t>Dimensões adotadas no projeto.</t>
  </si>
  <si>
    <t>Conforme projeto.</t>
  </si>
  <si>
    <t>Para calculo das dimensões do sumidouro (Cp=65l/m2/dia) sera adotado valores proximos aos valores da ABA/Planilha (7. Sumidouro calculo) - Referencia Af=6,15 m2.</t>
  </si>
  <si>
    <t>Profundidade da escavação (E2).</t>
  </si>
  <si>
    <t>Espessura da parede a ser utilizada - Base.</t>
  </si>
  <si>
    <t>Area da escavação (E2).</t>
  </si>
  <si>
    <t>Volume total de escavação (E1)</t>
  </si>
  <si>
    <t>Diametro medio da escavação (E2).</t>
  </si>
  <si>
    <t>Volume total de escavação (E2)</t>
  </si>
  <si>
    <t>Volume total de escavação (E1+E2)</t>
  </si>
  <si>
    <t>Diam. Poço + esp. Tijolo</t>
  </si>
  <si>
    <t>Profundidade total de escavação (E1+E2)</t>
  </si>
  <si>
    <t xml:space="preserve"> Prof. Adotada + Alt. do Anel/Base enterrada.</t>
  </si>
  <si>
    <t>un./m2</t>
  </si>
  <si>
    <t>Area total do perimetro de escavação (E1+E2)</t>
  </si>
  <si>
    <t>Preparo de fundo de vala com largura menor que 1,50 m, com camada de brita, lançamento manual. AF_08/2020.</t>
  </si>
  <si>
    <t>Bloco ceramico / Tijolo vazado para alvenaria de vedação, 6 furos na horizontal, de 9x14x19 cm (L x A x C).</t>
  </si>
  <si>
    <t xml:space="preserve">Elevação/Assentamento de tilolos comuns de 6 furos (14x9x19cm), fieiras com espaçamento entre blocos de 8 cm, sem uso de argamassa. </t>
  </si>
  <si>
    <t xml:space="preserve">Elevação/Assentamento de tilolos comuns de 6 furos (14x9x19cm), em fieiras com espaçamento entre blocos de 8 cm, sem uso de argamassa. </t>
  </si>
  <si>
    <t>Diametro medio interno do sumidouro</t>
  </si>
  <si>
    <t>Composição C 0007</t>
  </si>
  <si>
    <t>Area total a ser revestida (E1)</t>
  </si>
  <si>
    <t>Diametro medio interno (L1)</t>
  </si>
  <si>
    <t>2*3,1416*F36/2</t>
  </si>
  <si>
    <t>Base de apoio.</t>
  </si>
  <si>
    <t>Diametro - Area interna.</t>
  </si>
  <si>
    <t>Diametro - Area externo.</t>
  </si>
  <si>
    <t>Area total de chapisco.</t>
  </si>
  <si>
    <t xml:space="preserve">Area total </t>
  </si>
  <si>
    <t xml:space="preserve">Elevação/Assentamento de Bloco ceramico / Tijolo vazado para alvenaria de vedação(14x9x19cm), fieiras com espaçamento entre blocos de 8 cm, sem uso de argamassa. </t>
  </si>
  <si>
    <t>3,1416*F72*F72/4</t>
  </si>
  <si>
    <t>Volume total</t>
  </si>
  <si>
    <t xml:space="preserve">Massa única, para recebimento de pintura, em argamassa traço 1:2:8, preparo manual, aplicada manualmente em faces internas/externas de paredes, espessura de 20mm, com execução de taliscas. </t>
  </si>
  <si>
    <t>2*3,1416*F6/2</t>
  </si>
  <si>
    <t>Profundidade util  - Adotado (A1)</t>
  </si>
  <si>
    <t>Area minima de infiltração- Calculo/Planilha</t>
  </si>
  <si>
    <t>Area do diametro - Adotado (A1)</t>
  </si>
  <si>
    <t>Area de infiltração - Adotado (A1)</t>
  </si>
  <si>
    <t>Escavação vertical - Area util de infiltração - E1.</t>
  </si>
  <si>
    <t xml:space="preserve">Escavação vertical para anel de apoio/base da tampa - E2. </t>
  </si>
  <si>
    <t>Profundidade - Parcial 1</t>
  </si>
  <si>
    <t>Area minima de infiltração - Calculo/Planilha.</t>
  </si>
  <si>
    <t>Diametro médio a ser considerado (E2).</t>
  </si>
  <si>
    <t>Area/Diametro A1 x Perimetro A1</t>
  </si>
  <si>
    <t>Diametro interno adotado + Escavação (raio medio)  para execução do anel.</t>
  </si>
  <si>
    <t>Volume de escavação - Parcial 1 (E1)</t>
  </si>
  <si>
    <t>Volume de escavação - Parcial 2 (E2)</t>
  </si>
  <si>
    <t>Parcial 1 + Parcial 2</t>
  </si>
  <si>
    <t>2*3,1416*F35/2</t>
  </si>
  <si>
    <t>Altura total do Anel</t>
  </si>
  <si>
    <t>Diametro interno + 0,22 (Conf. Proj.) - 1/2 DIM. TIJOLO DEITADO</t>
  </si>
  <si>
    <t>(0,22-(F34/2))*2+F6</t>
  </si>
  <si>
    <t>(0,22-F34)*2+F6</t>
  </si>
  <si>
    <t>(0,22*2)+F6</t>
  </si>
  <si>
    <t xml:space="preserve">Diametro interno </t>
  </si>
  <si>
    <t>Area total do fundo</t>
  </si>
  <si>
    <t>Diametro interno - Anel de apoio R1</t>
  </si>
  <si>
    <t>Diametro Médio - Apoio/base da tampa R2.</t>
  </si>
  <si>
    <t>Perimetro do diametro interno R1</t>
  </si>
  <si>
    <t>Altura da parede interna R1</t>
  </si>
  <si>
    <t>Area total  R1</t>
  </si>
  <si>
    <t xml:space="preserve">Perimetro do apoio/base da tampa R2. </t>
  </si>
  <si>
    <t>Largura apoio/base da tampa R2.</t>
  </si>
  <si>
    <t>Area total R2</t>
  </si>
  <si>
    <t>Diametro externo - Anel de apoio R3</t>
  </si>
  <si>
    <t>Perimero do diametro externo R3</t>
  </si>
  <si>
    <t>Largura da area - Espessura da parede R3</t>
  </si>
  <si>
    <t>Area total R3</t>
  </si>
  <si>
    <t>Area total de chapisco (R1+R2+R3)</t>
  </si>
  <si>
    <t>Escoramento de vala, tipo pontaleteamento, com profundidade de 1,50 a 3,00 m, largura menor que 1,50 m. AF_08/2020.</t>
  </si>
  <si>
    <t>Obs:   Na   construção do tanque séptico, aumentar mais 30cm na altura para a câmara de gases</t>
  </si>
  <si>
    <t>DIAMETRO INTERNO - CALCULO/PLANILHA A1</t>
  </si>
  <si>
    <t>PROFUNDIDADE UTIL - CALCULO/PLANILHA  A1</t>
  </si>
  <si>
    <t>AREA  DO DIAMETRO INTERNO A1</t>
  </si>
  <si>
    <t>PERIMETRO DA AREA A1</t>
  </si>
  <si>
    <t>VOLUME UTIL - CALCULO/PLANILHA A1</t>
  </si>
  <si>
    <t>DIAMETRO TOTAL DA ESCAVAÇÃO -  (MEDIO/E2)</t>
  </si>
  <si>
    <t>3,1416*F15*F15/4</t>
  </si>
  <si>
    <t>3,1416*F20*F20/4</t>
  </si>
  <si>
    <t>DIAMETRO TOTAL A SER CONSIDERADO (E1).</t>
  </si>
  <si>
    <t>PERIMETRO DA AREA DE ESCAVAÇÃO (E1)</t>
  </si>
  <si>
    <t>ESCAVAÇÃO E1 + E2</t>
  </si>
  <si>
    <t>AREA TOTAL DO PERIMETRO DE ESCAVAÇÃO (E1+E2)</t>
  </si>
  <si>
    <t>2*3,1416*F32/2</t>
  </si>
  <si>
    <t>2*3,1416*F11/2</t>
  </si>
  <si>
    <t>VOLUME TOTAL DE ESCAVAÇÃO (E1+E2)</t>
  </si>
  <si>
    <t xml:space="preserve">Elevação Tij. 9 unid.+argam. </t>
  </si>
  <si>
    <t>F6+F12+(0,02*2)</t>
  </si>
  <si>
    <t>ESPESSUA DO REBOCO/PRETENDIDO</t>
  </si>
  <si>
    <t>3,1416*F86*F86/4</t>
  </si>
  <si>
    <t>Reaterro manual, apinolado com soquete. AF_10/2017.</t>
  </si>
  <si>
    <t>AREA DA SESSÃO</t>
  </si>
  <si>
    <t xml:space="preserve">PERIMETRO </t>
  </si>
  <si>
    <t>VOLUME TOTAL</t>
  </si>
  <si>
    <t>0,39 x 0,39/2</t>
  </si>
  <si>
    <t>Escavação vertical - E1.</t>
  </si>
  <si>
    <t>Reaterro Manual, apilonamento com soquete. AF_10/2017.</t>
  </si>
  <si>
    <t xml:space="preserve">Reaterro manual, apilonado com soquete. AF_10/2017. </t>
  </si>
  <si>
    <t xml:space="preserve">Area da secão </t>
  </si>
  <si>
    <t>Perimetro do diametro</t>
  </si>
  <si>
    <t>Area da seção</t>
  </si>
  <si>
    <t>Perimetro</t>
  </si>
  <si>
    <t>IGUAL L1+L2 Item 1.4 (+ 10%)</t>
  </si>
  <si>
    <t>1.12</t>
  </si>
  <si>
    <t>Tubo PVC, serie normal, esgoto predial, dn 100 mm, fornecido e instalado em ramal de descarga ou ramal de esgoto sanitário. AF_12/2014.</t>
  </si>
  <si>
    <t>Item 5</t>
  </si>
  <si>
    <t>Instalação de caixa de descarga de plastico externa, de 9 litros, com acessorios - Fornecimento e instalação.</t>
  </si>
  <si>
    <t>Caixa de descarga de plastico externa, de 9 litros, puxador fio de nylon, não incluso cano, bolsa e engate.</t>
  </si>
  <si>
    <t>Tubo de descida externo de pvc para bcaixa de descarga externa alta - 40 mm x 1,60 m.</t>
  </si>
  <si>
    <t>Engate/Rabicho flexivel plastico (PVC ou ABS) Branco 1/2" x 40 cm.</t>
  </si>
  <si>
    <t>Bolsa de ligação em pvc flexivel para vaso sanitário 1.1/2" (40 mm).</t>
  </si>
  <si>
    <t>6140*</t>
  </si>
  <si>
    <t>1030*</t>
  </si>
  <si>
    <t>1031*</t>
  </si>
  <si>
    <t>7568*</t>
  </si>
  <si>
    <t>Bucha de nylon sem aba S10, com parafuso de 6,10 x 65 mm em aço zincado com rosca soberba, cabeça chata e fenda phillips.</t>
  </si>
  <si>
    <t>Abraçadeira em aço, tipo U simples, com 1.1/4".</t>
  </si>
  <si>
    <t>Porta em chapa metálica (0,70 m x 2,10 m), tipo veneziana,  com guarnição, dobradiça e fechadura.</t>
  </si>
  <si>
    <t>C 0009</t>
  </si>
  <si>
    <t>Escavação vertical.</t>
  </si>
  <si>
    <t>Profundidade de escavação</t>
  </si>
  <si>
    <t>Area da escavação</t>
  </si>
  <si>
    <t xml:space="preserve">Volume da escavação </t>
  </si>
  <si>
    <t>Caixa de Inpeção/passagem em alvenaria de tijolos (9x14x19) com dimensões internas de 60x60x80, revestida internamento com barra lisa (cimento e areia, traço 1:4, ESP.=2,0 cm, com tampa pré-moldada de concreto (90x90x5cm) e fundo de concreto 15 mpa (Material/Execução) -  Conforme projeto.</t>
  </si>
  <si>
    <t>Espessura da parede a ser utilizada (Alvenaria).</t>
  </si>
  <si>
    <t>Dimensão a ser considerada - L1.</t>
  </si>
  <si>
    <t>Dimensão a ser considerada - L2.</t>
  </si>
  <si>
    <t>L1 X L2</t>
  </si>
  <si>
    <t>Dimensão a ser considerada - L1a.</t>
  </si>
  <si>
    <t>Dimensão a ser considerada - L2a.</t>
  </si>
  <si>
    <t>0,60+0,04+0,09</t>
  </si>
  <si>
    <t>0,60+0,04</t>
  </si>
  <si>
    <t>5. CAIXA DE PASSAGEM/ INSPEÇÃO - EFLUENTE DO MODULO SANITARIO.</t>
  </si>
  <si>
    <t>Caixa de Passagem/Inspeção (dimensões conforme projeto)</t>
  </si>
  <si>
    <t>Area a ser considerada</t>
  </si>
  <si>
    <t>Altura total a considerar (Parcial 1)</t>
  </si>
  <si>
    <t>Altura total a considerar (Parcial 2)</t>
  </si>
  <si>
    <t>0,60+0,04+0,14</t>
  </si>
  <si>
    <t>Altura parcial 2</t>
  </si>
  <si>
    <t>Altura parcial 1</t>
  </si>
  <si>
    <t>0,02 x 2 - Espessura do chapisco/reboco.</t>
  </si>
  <si>
    <t>Altura das fiadas</t>
  </si>
  <si>
    <t>Dimensões internas (L1a+ L2a)</t>
  </si>
  <si>
    <t>Dimensões - area da apoio da tampa.</t>
  </si>
  <si>
    <t>Largura da base de apoio da tampa</t>
  </si>
  <si>
    <t xml:space="preserve">Dimensões externas - L1 </t>
  </si>
  <si>
    <t>Dimensões externas - L2</t>
  </si>
  <si>
    <t>Profundidade/Altura</t>
  </si>
  <si>
    <t>Area a ser considerada (1)</t>
  </si>
  <si>
    <t>Area a ser considerada (2)</t>
  </si>
  <si>
    <t>Area a ser considerada (3)</t>
  </si>
  <si>
    <t>Dimensões (L1)</t>
  </si>
  <si>
    <t>Dimensões (L2)</t>
  </si>
  <si>
    <t>Caixa de Inpeção/passagem em alvenaria de tijolos (9x14x19) com dimensões internas de 60x60x60, revestida internamento com barra lisa (cimento e areia, traço 1:4, ESP.=2,0 cm, com tampa pré-moldada de concreto (90x90x5cm) e fundo de concreto 15 mpa (Material/Execução) -  Efluentes pós tratamento - Dimensões conforme projeto.</t>
  </si>
  <si>
    <t>Caixa de Inspeção/passagem - Efluentes do Modulo sanitário (Dimensões conforme projeto).</t>
  </si>
  <si>
    <t>Volume (E1)</t>
  </si>
  <si>
    <t>Volume (E2)</t>
  </si>
  <si>
    <t>Total de escavação (E1+E2)</t>
  </si>
  <si>
    <t>Area de escavação (E2)</t>
  </si>
  <si>
    <t>Area de superficie da vala</t>
  </si>
  <si>
    <t>Altura de brita a ser considerada.</t>
  </si>
  <si>
    <t>Comprimento considerado para interligação das unidades.</t>
  </si>
  <si>
    <t>Largura da vala (E1)</t>
  </si>
  <si>
    <t>Comprimento (E2)</t>
  </si>
  <si>
    <t>Largura da vala (E2)</t>
  </si>
  <si>
    <t>Profundidade (E1)</t>
  </si>
  <si>
    <t>LARGURA A SER CONSIDERADO - CONFORME PROJETO.</t>
  </si>
  <si>
    <t>COMPRIMENTO CONSIDERADO DA VALA - CONFORME PROJETO.</t>
  </si>
  <si>
    <t>Fornecimento e lançamento de brita n° 3</t>
  </si>
  <si>
    <t>CONFORME PROJETO</t>
  </si>
  <si>
    <t>Area de reaterro (E1)</t>
  </si>
  <si>
    <t>Volume de reaterro (E1)</t>
  </si>
  <si>
    <t>Altura de reaterro a ser considerado na vala (E1)</t>
  </si>
  <si>
    <t>SINAPI 96995</t>
  </si>
  <si>
    <t>Volume parcial 1</t>
  </si>
  <si>
    <t>Altura de reaterro a ser considerado na vala (E2)</t>
  </si>
  <si>
    <t>Volume escavado (E2)</t>
  </si>
  <si>
    <t>Area de reaterro (E2)</t>
  </si>
  <si>
    <t>Volume de reaterro (E2)</t>
  </si>
  <si>
    <t>Pedra brita nº 3 (38 a 50 mm), posto pedreira/fornecedor.</t>
  </si>
  <si>
    <t>Volume total de reaterro (E1/E2)</t>
  </si>
  <si>
    <t>Volume parcial 2</t>
  </si>
  <si>
    <t>Altura de brita a ser considerada - Profundidade.</t>
  </si>
  <si>
    <t>Comprimento da vala (E1)</t>
  </si>
  <si>
    <t>Profundidade da vala para assentamento de Tububulação (E2)</t>
  </si>
  <si>
    <t>Recobrimento minimo da tubulação = 0,20 m + Tubo (0,10 m).</t>
  </si>
  <si>
    <t>Lançamento de brita nº 3, inclusive adensamento.</t>
  </si>
  <si>
    <t>C 0010</t>
  </si>
  <si>
    <t>11,41/M</t>
  </si>
  <si>
    <t>Tubo dreno, corrugado, espiralado, flexivel, perfurado, em polietileno de alta densidade (PEAD), DN 100 mm, (4") para drenagem - em rolo.</t>
  </si>
  <si>
    <t>Reaterro manual apiloado com soquete. Af_10/2017.</t>
  </si>
  <si>
    <t>C 0011</t>
  </si>
  <si>
    <t>Tubo dreno, corrugado, espiralado, flexivel, perfurado, em polietileno de alta densidade (PEAD), DN 100 mm, (4") para drenagem - fornecimento e instalação.</t>
  </si>
  <si>
    <t>Tubo dreno, corrugado, espiralado, flexivel, perfurado, em polietileno de alta densidade (PEAD), DN 100 mm, (4") para drenagem - em rolo</t>
  </si>
  <si>
    <t>Junção simples, PVC, serie normal, esgoto predial, DN 100 x 100 mm, junta elástica, fornecido e instalado em ramal de descarga ou ramal de esgoto sanitário.AF_12/2014.</t>
  </si>
  <si>
    <t>Aplicação de Lona Plastica instalada para impermeabilização , e= 150 micra.</t>
  </si>
  <si>
    <t>C 0012</t>
  </si>
  <si>
    <t>Lona plastica pesada preta, E= 150 micra.</t>
  </si>
  <si>
    <t>3777*</t>
  </si>
  <si>
    <t>Lastro de brita n°2 apiloada manualmente, espessura 5 cm.</t>
  </si>
  <si>
    <t>Area a ser aplicada.</t>
  </si>
  <si>
    <t xml:space="preserve">Espessura do lastro  </t>
  </si>
  <si>
    <t xml:space="preserve">Volume total </t>
  </si>
  <si>
    <r>
      <t>m</t>
    </r>
    <r>
      <rPr>
        <b/>
        <vertAlign val="superscript"/>
        <sz val="10"/>
        <rFont val="Arial"/>
        <family val="2"/>
      </rPr>
      <t>2</t>
    </r>
  </si>
  <si>
    <t>C 0013</t>
  </si>
  <si>
    <t>Placa de obra em chapa de aço galvanizado - Padrão FUNASA.</t>
  </si>
  <si>
    <t>4491*</t>
  </si>
  <si>
    <t>Pontalete 7,5 x 7,5 cm em pinus, mista ou equivavente da região - Bruta.</t>
  </si>
  <si>
    <t>Placa de obra em chapa de aço galvanizada nº 22, adesivada, com dimensões de 2,00 x 1,12.</t>
  </si>
  <si>
    <t>Sarrafo não aparelhado 2,5 x 7,5 cm em pinus, mista  ou equivavente da região =- Bruta.</t>
  </si>
  <si>
    <t>4517*</t>
  </si>
  <si>
    <t>Prego de aço polido com cabeça 18 x 30 (2.3/4 x 10).</t>
  </si>
  <si>
    <t>5075*</t>
  </si>
  <si>
    <t>Carpinteiro de formas com encargos complementares.</t>
  </si>
  <si>
    <t>Ajudante de Carpinteiro com encargos complementares.</t>
  </si>
  <si>
    <t>Referencia</t>
  </si>
  <si>
    <t>MEMORIAL DE CÁLCULO - MÓDULO SANITÁRIO - CAIXA DE PASSAGEM/INSPEÇÃO - EFLUENTES DO MODULO SANITÁRIO.</t>
  </si>
  <si>
    <t>Erro no quantitativo</t>
  </si>
  <si>
    <t>0,60+0,04 (Area parede interna)</t>
  </si>
  <si>
    <t>Area interna x 4.</t>
  </si>
  <si>
    <t>Caixa de passagem/inspeção em alvenaria de tijolos (9x14x19) com dimensões internas de 60x60x60, revestida internamento com barra lisa (cimento e areia, traço 1:4, ESP.=2,0 cm, com tampa pré-moldada de concreto (90x90x5cm) e fundo de concreto 15 mpa (Material/Execução) -  Efluentes pós tratamento - Dimensões conforme projeto.</t>
  </si>
  <si>
    <t>SERA DELETADA</t>
  </si>
  <si>
    <t>FALTOU ESTE ITEM</t>
  </si>
  <si>
    <t>Concreto FCK = 15 MPA -  Traço 1:3,4:3,5 (em massa seca de cimento / areia média / brita 1) - preparo manual. AF 05/2021.</t>
  </si>
  <si>
    <r>
      <t>m</t>
    </r>
    <r>
      <rPr>
        <b/>
        <vertAlign val="superscript"/>
        <sz val="10"/>
        <color rgb="FFFF0000"/>
        <rFont val="Arial"/>
        <family val="2"/>
      </rPr>
      <t>3</t>
    </r>
  </si>
  <si>
    <t>Espessura</t>
  </si>
  <si>
    <t>(2 x L1a) + (2xL2a)</t>
  </si>
  <si>
    <t>0,60+0,04+(0,045*2)*4</t>
  </si>
  <si>
    <t>MÓDULO SANITÁRIO DOMICILIAR - ANO 2022 - PROJETO PADRÃO.</t>
  </si>
  <si>
    <t>8A. VALA DE INFILTRAÇÃO - SOLO ARGILOSO (Cp=35 l/m2/dia).</t>
  </si>
  <si>
    <t>MÓDULO SANITÁRIO DOMICILIAR - ANO 2022.</t>
  </si>
  <si>
    <t>Vala de infiltração (dimensões conforme projeto).</t>
  </si>
  <si>
    <t>Alvenaria de Vedação de Blocos Cerâmicos Furados na horizontal de 9x14x19 cm (espessura 9 cm) de paredes com area liquida maior ou igual a 6 m2 sem vão e argamassa de assentamento com preparo manual. AF_12/2021.</t>
  </si>
  <si>
    <r>
      <t>Chapisco aplicado em alvenaria (com presença de vãos) e estruturas de concreto de fachada, com colher de pedreiro. Argamassa traço 1:3 com preparo manual.</t>
    </r>
    <r>
      <rPr>
        <sz val="10"/>
        <color rgb="FFFF0000"/>
        <rFont val="Arial"/>
        <family val="2"/>
      </rPr>
      <t xml:space="preserve"> AF_06/2014.</t>
    </r>
  </si>
  <si>
    <r>
      <t xml:space="preserve">Massa única, para recebimento de pintura, em argamassa traço 1:2:8, preparo manual, aplicada manualmente em faces internas de paredes, espessura de 20mm, com execução de taliscas. </t>
    </r>
    <r>
      <rPr>
        <sz val="10"/>
        <color rgb="FFFF0000"/>
        <rFont val="Arial"/>
        <family val="2"/>
      </rPr>
      <t>AF_06/2014.</t>
    </r>
  </si>
  <si>
    <r>
      <t>Peça retangular pré-moldada, volume de concreto de até 30 a 100 litros, taxa de aço aproximada de 30 kg/m3. - AF_01/2018 - Tampa em concreto 85x85x5 cm.</t>
    </r>
    <r>
      <rPr>
        <sz val="10"/>
        <color rgb="FFFF0000"/>
        <rFont val="Arial"/>
        <family val="2"/>
      </rPr>
      <t xml:space="preserve"> AF_01/2018.</t>
    </r>
  </si>
  <si>
    <r>
      <t xml:space="preserve">Alvenaria de vedação de blocos cerâmicos furados na horizontal de 14x9 x19cm (espessura 14cm, bloco deitado) de paredes com área líquida menor que 6m² sem vãos e argamassa de assentamento com preparo manual. </t>
    </r>
    <r>
      <rPr>
        <sz val="10"/>
        <color rgb="FFFF0000"/>
        <rFont val="Arial"/>
        <family val="2"/>
      </rPr>
      <t>AF_12/2021.</t>
    </r>
  </si>
  <si>
    <r>
      <rPr>
        <sz val="9"/>
        <rFont val="Arial"/>
        <family val="2"/>
      </rPr>
      <t>Alvenaria de Vedação de Blocos Cerâmicos Furados na horizontal de 9x14x19 cm (espessura 9 cm) de paredes com area liquida maior ou igual a 6 m2 sem vão e argamassa de assentamento com preparo manual.</t>
    </r>
    <r>
      <rPr>
        <sz val="9"/>
        <color rgb="FFFF0000"/>
        <rFont val="Arial"/>
        <family val="2"/>
      </rPr>
      <t xml:space="preserve"> AF_12/2021.</t>
    </r>
  </si>
  <si>
    <t>Auxiliar de encanador ou bombeiro hidraúlico com encargos complementares.</t>
  </si>
  <si>
    <r>
      <t xml:space="preserve">Escavação manual de vala com profundidade menor ou igual a 1,30 m. </t>
    </r>
    <r>
      <rPr>
        <sz val="10"/>
        <color rgb="FFFF0000"/>
        <rFont val="Arial"/>
        <family val="2"/>
      </rPr>
      <t>AF_03/2016.</t>
    </r>
  </si>
  <si>
    <r>
      <t>Concreto FCK = 15 MPA -  Traço 1:3,4:3,5 (em massa seca de cimento / areia média / brita 1) - preparo manual.</t>
    </r>
    <r>
      <rPr>
        <sz val="9"/>
        <color rgb="FFFF0000"/>
        <rFont val="Arial"/>
        <family val="2"/>
      </rPr>
      <t xml:space="preserve"> AF 07/2016.</t>
    </r>
  </si>
  <si>
    <r>
      <t xml:space="preserve">Concreto magro para lastro, traço 1:4, 5;4,5 (em massa seca de cimento/areia média/brita 1) - preparo manual. </t>
    </r>
    <r>
      <rPr>
        <sz val="10"/>
        <color rgb="FFFF0000"/>
        <rFont val="Arial"/>
        <family val="2"/>
      </rPr>
      <t>AF_07/2017.</t>
    </r>
  </si>
  <si>
    <t>Caixa de passagem/Inpeção em alvenaria de tijolos (9x14x19) com dimensões internas de 60x60x60 cm, revestida internamento com barra lisa (cimento e areia, traço 1:4). E=2,0 cm, com tampa pré-moldada de concreto e fundo de concreto (Material e Execução).</t>
  </si>
  <si>
    <t>5. CAIXA DE PASSAGEM/ INSPEÇÃO - EFLUENTE DO MODULO SANITÁRIO.</t>
  </si>
  <si>
    <t>MEMORIAL DE CÁLCULO - MÓDULO SANITÁRIO</t>
  </si>
  <si>
    <t>1.13</t>
  </si>
  <si>
    <t>1.14</t>
  </si>
  <si>
    <t>1.15</t>
  </si>
  <si>
    <t>1200*</t>
  </si>
  <si>
    <t>CAP PVC, soldavel, dn 100 mm, serie normal, para esgoto predial.</t>
  </si>
  <si>
    <t>Peça circular pré-moldada, volume de concreto acima de 100 litros, taxa de aço aproximada de 30 kg/m3. - AF_01/2018.</t>
  </si>
  <si>
    <t>Escavação Manual de Vala com profundidade menor ou igual a 1,30 m. AF_02/2021.</t>
  </si>
  <si>
    <t xml:space="preserve">Peça circular pré-moldada, volume de concreto acima de 100 litros, taxa de aço aproximada de 30 kg/m3. - AF_01/2018 - (Conforme projeto). </t>
  </si>
  <si>
    <t>CONVENIO:</t>
  </si>
  <si>
    <t>1.4.1</t>
  </si>
  <si>
    <t>1.4.2</t>
  </si>
  <si>
    <t>1.5.1</t>
  </si>
  <si>
    <t>1.5.2</t>
  </si>
  <si>
    <t>1.5.3</t>
  </si>
  <si>
    <t>1.5.4</t>
  </si>
  <si>
    <t>1.5.5</t>
  </si>
  <si>
    <t>1.5.6</t>
  </si>
  <si>
    <t>1.5.7</t>
  </si>
  <si>
    <t>1.5.8</t>
  </si>
  <si>
    <t>Caixa de distribuição(dimensões conforme projeto), com tampa em concreto armado.</t>
  </si>
  <si>
    <t>Altura da vala a ser reaterrada.</t>
  </si>
  <si>
    <t>Comprimento adotado (1 barra) = 6,00 m.</t>
  </si>
  <si>
    <t>SINAPI - FEVEREIRO/2022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</si>
</sst>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_);_(* \(#,##0.00\);_(* &quot;-&quot;??_);_(@_)"/>
    <numFmt numFmtId="165" formatCode="0.00;[Red]0.00"/>
    <numFmt numFmtId="166" formatCode="0;[Red]0"/>
    <numFmt numFmtId="167" formatCode="#,##0.00;[Red]#,##0.00"/>
    <numFmt numFmtId="168" formatCode="0.0000"/>
    <numFmt numFmtId="169" formatCode="0.000;[Red]0.000"/>
    <numFmt numFmtId="170" formatCode="_-&quot;R$ &quot;* #,##0.00_-;&quot;-R$ &quot;* #,##0.00_-;_-&quot;R$ &quot;* \-??_-;_-@_-"/>
    <numFmt numFmtId="171" formatCode="_-* #,##0.00_-;\-* #,##0.00_-;_-* \-??_-;_-@_-"/>
  </numFmts>
  <fonts count="68" x14ac:knownFonts="1">
    <font>
      <sz val="10"/>
      <name val="Arial"/>
    </font>
    <font>
      <sz val="11"/>
      <color theme="1"/>
      <name val="Calibri"/>
      <family val="2"/>
      <scheme val="minor"/>
    </font>
    <font>
      <sz val="10"/>
      <name val="Arial"/>
      <family val="2"/>
    </font>
    <font>
      <b/>
      <sz val="10"/>
      <name val="Arial"/>
      <family val="2"/>
    </font>
    <font>
      <sz val="10"/>
      <name val="Arial"/>
      <family val="2"/>
    </font>
    <font>
      <sz val="16"/>
      <name val="Arial"/>
      <family val="2"/>
    </font>
    <font>
      <b/>
      <sz val="9"/>
      <name val="Arial"/>
      <family val="2"/>
    </font>
    <font>
      <b/>
      <vertAlign val="superscript"/>
      <sz val="10"/>
      <name val="Arial"/>
      <family val="2"/>
    </font>
    <font>
      <vertAlign val="superscript"/>
      <sz val="10"/>
      <name val="Arial"/>
      <family val="2"/>
    </font>
    <font>
      <b/>
      <sz val="10"/>
      <name val="Arial"/>
      <family val="2"/>
    </font>
    <font>
      <i/>
      <sz val="10"/>
      <name val="Arial"/>
      <family val="2"/>
    </font>
    <font>
      <b/>
      <i/>
      <sz val="10"/>
      <name val="Arial"/>
      <family val="2"/>
    </font>
    <font>
      <b/>
      <sz val="9"/>
      <name val="Arial"/>
      <family val="2"/>
    </font>
    <font>
      <sz val="9"/>
      <name val="Arial"/>
      <family val="2"/>
    </font>
    <font>
      <sz val="12"/>
      <name val="Bookman Old Style"/>
      <family val="1"/>
    </font>
    <font>
      <b/>
      <sz val="8"/>
      <name val="Arial"/>
      <family val="2"/>
    </font>
    <font>
      <b/>
      <sz val="8"/>
      <name val="Arial"/>
      <family val="2"/>
    </font>
    <font>
      <b/>
      <sz val="12"/>
      <name val="Arial"/>
      <family val="2"/>
    </font>
    <font>
      <b/>
      <sz val="16"/>
      <name val="Arial"/>
      <family val="2"/>
    </font>
    <font>
      <b/>
      <sz val="14"/>
      <name val="Arial"/>
      <family val="2"/>
    </font>
    <font>
      <sz val="10"/>
      <name val="Arial"/>
      <family val="2"/>
    </font>
    <font>
      <sz val="11"/>
      <color rgb="FF9C6500"/>
      <name val="Calibri"/>
      <family val="2"/>
      <scheme val="minor"/>
    </font>
    <font>
      <sz val="11"/>
      <name val="Calibri"/>
      <family val="2"/>
      <scheme val="minor"/>
    </font>
    <font>
      <sz val="10"/>
      <color theme="1"/>
      <name val="Arial"/>
      <family val="2"/>
    </font>
    <font>
      <sz val="10"/>
      <color rgb="FFFF0000"/>
      <name val="Arial"/>
      <family val="2"/>
    </font>
    <font>
      <b/>
      <sz val="12"/>
      <name val="Bookman Old Style"/>
      <family val="1"/>
    </font>
    <font>
      <sz val="14"/>
      <name val="Arial"/>
      <family val="2"/>
    </font>
    <font>
      <b/>
      <i/>
      <vertAlign val="superscript"/>
      <sz val="10"/>
      <name val="Arial"/>
      <family val="2"/>
    </font>
    <font>
      <vertAlign val="subscript"/>
      <sz val="10"/>
      <name val="Arial"/>
      <family val="2"/>
    </font>
    <font>
      <b/>
      <vertAlign val="subscript"/>
      <sz val="12"/>
      <name val="Arial"/>
      <family val="2"/>
    </font>
    <font>
      <b/>
      <sz val="10"/>
      <color theme="1"/>
      <name val="Arial"/>
      <family val="2"/>
    </font>
    <font>
      <sz val="10"/>
      <name val="Calibri"/>
      <family val="2"/>
    </font>
    <font>
      <b/>
      <sz val="9"/>
      <name val="Times New Roman"/>
      <family val="1"/>
    </font>
    <font>
      <sz val="10"/>
      <color indexed="8"/>
      <name val="Arial"/>
      <family val="2"/>
    </font>
    <font>
      <b/>
      <sz val="9"/>
      <color rgb="FFFF0000"/>
      <name val="Arial"/>
      <family val="2"/>
    </font>
    <font>
      <sz val="9"/>
      <color rgb="FFFF0000"/>
      <name val="Arial"/>
      <family val="2"/>
    </font>
    <font>
      <b/>
      <sz val="9"/>
      <color theme="1"/>
      <name val="Arial"/>
      <family val="2"/>
    </font>
    <font>
      <b/>
      <sz val="10"/>
      <color rgb="FFFF0000"/>
      <name val="Arial"/>
      <family val="2"/>
    </font>
    <font>
      <sz val="8"/>
      <name val="Arial"/>
      <family val="2"/>
    </font>
    <font>
      <sz val="10"/>
      <color theme="9" tint="-0.249977111117893"/>
      <name val="Arial"/>
      <family val="2"/>
    </font>
    <font>
      <b/>
      <sz val="10"/>
      <color theme="9" tint="-0.249977111117893"/>
      <name val="Arial"/>
      <family val="2"/>
    </font>
    <font>
      <b/>
      <sz val="11"/>
      <name val="Arial"/>
      <family val="2"/>
    </font>
    <font>
      <b/>
      <sz val="11"/>
      <color theme="1"/>
      <name val="Arial"/>
      <family val="2"/>
    </font>
    <font>
      <b/>
      <sz val="10"/>
      <name val="Calibri"/>
      <family val="2"/>
    </font>
    <font>
      <sz val="11"/>
      <name val="Arial"/>
      <family val="2"/>
    </font>
    <font>
      <b/>
      <sz val="11"/>
      <color theme="9" tint="-0.249977111117893"/>
      <name val="Arial"/>
      <family val="2"/>
    </font>
    <font>
      <sz val="20"/>
      <name val="Arial"/>
      <family val="2"/>
    </font>
    <font>
      <sz val="12"/>
      <color theme="9" tint="-0.249977111117893"/>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8"/>
      <name val="Calibri"/>
      <family val="2"/>
      <charset val="1"/>
    </font>
    <font>
      <b/>
      <sz val="11"/>
      <color indexed="63"/>
      <name val="Calibri"/>
      <family val="2"/>
    </font>
    <font>
      <sz val="11"/>
      <color indexed="10"/>
      <name val="Calibri"/>
      <family val="2"/>
    </font>
    <font>
      <i/>
      <sz val="11"/>
      <color indexed="23"/>
      <name val="Calibri"/>
      <family val="2"/>
    </font>
    <font>
      <b/>
      <sz val="11"/>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vertAlign val="superscript"/>
      <sz val="10"/>
      <color rgb="FFFF0000"/>
      <name val="Arial"/>
      <family val="2"/>
    </font>
    <font>
      <sz val="26"/>
      <name val="Arial"/>
      <family val="2"/>
    </font>
  </fonts>
  <fills count="35">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s>
  <borders count="93">
    <border>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double">
        <color indexed="64"/>
      </right>
      <top/>
      <bottom style="double">
        <color indexed="64"/>
      </bottom>
      <diagonal/>
    </border>
    <border>
      <left style="medium">
        <color indexed="64"/>
      </left>
      <right style="double">
        <color indexed="64"/>
      </right>
      <top/>
      <bottom style="double">
        <color indexed="64"/>
      </bottom>
      <diagonal/>
    </border>
    <border>
      <left/>
      <right style="double">
        <color indexed="64"/>
      </right>
      <top style="double">
        <color indexed="64"/>
      </top>
      <bottom style="thin">
        <color indexed="64"/>
      </bottom>
      <diagonal/>
    </border>
    <border>
      <left style="medium">
        <color indexed="64"/>
      </left>
      <right style="double">
        <color indexed="64"/>
      </right>
      <top style="double">
        <color indexed="64"/>
      </top>
      <bottom style="thin">
        <color indexed="64"/>
      </bottom>
      <diagonal/>
    </border>
    <border>
      <left/>
      <right style="thin">
        <color indexed="64"/>
      </right>
      <top style="medium">
        <color indexed="64"/>
      </top>
      <bottom style="medium">
        <color indexed="64"/>
      </bottom>
      <diagonal/>
    </border>
    <border>
      <left/>
      <right style="double">
        <color indexed="64"/>
      </right>
      <top/>
      <bottom style="thin">
        <color indexed="64"/>
      </bottom>
      <diagonal/>
    </border>
    <border>
      <left style="medium">
        <color indexed="64"/>
      </left>
      <right style="double">
        <color indexed="64"/>
      </right>
      <top/>
      <bottom style="thin">
        <color indexed="64"/>
      </bottom>
      <diagonal/>
    </border>
    <border>
      <left/>
      <right style="double">
        <color indexed="64"/>
      </right>
      <top style="double">
        <color indexed="64"/>
      </top>
      <bottom/>
      <diagonal/>
    </border>
    <border>
      <left style="medium">
        <color indexed="64"/>
      </left>
      <right style="double">
        <color indexed="64"/>
      </right>
      <top style="double">
        <color indexed="64"/>
      </top>
      <bottom/>
      <diagonal/>
    </border>
    <border>
      <left/>
      <right style="medium">
        <color indexed="64"/>
      </right>
      <top style="thin">
        <color indexed="64"/>
      </top>
      <bottom/>
      <diagonal/>
    </border>
    <border>
      <left/>
      <right/>
      <top/>
      <bottom style="double">
        <color indexed="64"/>
      </bottom>
      <diagonal/>
    </border>
    <border>
      <left style="medium">
        <color indexed="64"/>
      </left>
      <right/>
      <top/>
      <bottom style="double">
        <color indexed="64"/>
      </bottom>
      <diagonal/>
    </border>
    <border>
      <left/>
      <right style="medium">
        <color indexed="64"/>
      </right>
      <top style="double">
        <color indexed="64"/>
      </top>
      <bottom/>
      <diagonal/>
    </border>
    <border>
      <left/>
      <right style="medium">
        <color indexed="64"/>
      </right>
      <top/>
      <bottom style="double">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2"/>
      </bottom>
      <diagonal/>
    </border>
    <border>
      <left/>
      <right/>
      <top/>
      <bottom style="thin">
        <color indexed="22"/>
      </bottom>
      <diagonal/>
    </border>
    <border>
      <left/>
      <right/>
      <top/>
      <bottom style="thin">
        <color indexed="30"/>
      </bottom>
      <diagonal/>
    </border>
  </borders>
  <cellStyleXfs count="55">
    <xf numFmtId="0" fontId="0" fillId="0" borderId="0"/>
    <xf numFmtId="0" fontId="21" fillId="2" borderId="0" applyNumberFormat="0" applyBorder="0" applyAlignment="0" applyProtection="0"/>
    <xf numFmtId="0" fontId="4" fillId="0" borderId="0"/>
    <xf numFmtId="43" fontId="4"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43" fontId="1" fillId="0" borderId="0" applyFont="0" applyFill="0" applyBorder="0" applyAlignment="0" applyProtection="0"/>
    <xf numFmtId="0" fontId="48" fillId="0" borderId="0"/>
    <xf numFmtId="171" fontId="48" fillId="0" borderId="0" applyFill="0" applyBorder="0" applyAlignment="0" applyProtection="0"/>
    <xf numFmtId="170" fontId="48" fillId="0" borderId="0" applyFill="0" applyBorder="0" applyAlignment="0" applyProtection="0"/>
    <xf numFmtId="9" fontId="48" fillId="0" borderId="0" applyFill="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2" borderId="0" applyNumberFormat="0" applyBorder="0" applyAlignment="0" applyProtection="0"/>
    <xf numFmtId="0" fontId="49" fillId="23"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50" fillId="15" borderId="0" applyNumberFormat="0" applyBorder="0" applyAlignment="0" applyProtection="0"/>
    <xf numFmtId="0" fontId="51" fillId="27" borderId="84" applyNumberFormat="0" applyAlignment="0" applyProtection="0"/>
    <xf numFmtId="0" fontId="52" fillId="28" borderId="85" applyNumberFormat="0" applyAlignment="0" applyProtection="0"/>
    <xf numFmtId="0" fontId="53" fillId="0" borderId="86" applyNumberFormat="0" applyFill="0" applyAlignment="0" applyProtection="0"/>
    <xf numFmtId="0" fontId="54" fillId="18" borderId="84" applyNumberFormat="0" applyAlignment="0" applyProtection="0"/>
    <xf numFmtId="0" fontId="55" fillId="14" borderId="0" applyNumberFormat="0" applyBorder="0" applyAlignment="0" applyProtection="0"/>
    <xf numFmtId="0" fontId="56" fillId="29" borderId="0" applyNumberFormat="0" applyBorder="0" applyAlignment="0" applyProtection="0"/>
    <xf numFmtId="0" fontId="57" fillId="0" borderId="0"/>
    <xf numFmtId="0" fontId="48" fillId="30" borderId="87" applyNumberFormat="0" applyAlignment="0" applyProtection="0"/>
    <xf numFmtId="0" fontId="58" fillId="27" borderId="88"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89" applyNumberFormat="0" applyFill="0" applyAlignment="0" applyProtection="0"/>
    <xf numFmtId="0" fontId="62" fillId="0" borderId="90" applyNumberFormat="0" applyFill="0" applyAlignment="0" applyProtection="0"/>
    <xf numFmtId="0" fontId="63" fillId="0" borderId="91" applyNumberFormat="0" applyFill="0" applyAlignment="0" applyProtection="0"/>
    <xf numFmtId="0" fontId="64" fillId="0" borderId="92" applyNumberFormat="0" applyFill="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49" fillId="31" borderId="0" applyNumberFormat="0" applyBorder="0" applyAlignment="0" applyProtection="0"/>
    <xf numFmtId="0" fontId="49" fillId="32" borderId="0" applyNumberFormat="0" applyBorder="0" applyAlignment="0" applyProtection="0"/>
    <xf numFmtId="0" fontId="49" fillId="3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34" borderId="0" applyNumberFormat="0" applyBorder="0" applyAlignment="0" applyProtection="0"/>
    <xf numFmtId="0" fontId="48" fillId="0" borderId="0"/>
  </cellStyleXfs>
  <cellXfs count="1098">
    <xf numFmtId="0" fontId="0" fillId="0" borderId="0" xfId="0"/>
    <xf numFmtId="0" fontId="4" fillId="0" borderId="1" xfId="0" applyFont="1" applyBorder="1" applyAlignment="1">
      <alignment horizontal="center" vertical="center"/>
    </xf>
    <xf numFmtId="0" fontId="4" fillId="0" borderId="0" xfId="0" applyFont="1"/>
    <xf numFmtId="0" fontId="4" fillId="0" borderId="13" xfId="0" applyFont="1" applyBorder="1" applyAlignment="1">
      <alignment horizontal="center" vertical="center"/>
    </xf>
    <xf numFmtId="2" fontId="4" fillId="0" borderId="4" xfId="0" applyNumberFormat="1" applyFont="1" applyBorder="1" applyAlignment="1">
      <alignment horizontal="center" vertical="center"/>
    </xf>
    <xf numFmtId="0" fontId="4" fillId="0" borderId="0" xfId="0" applyFont="1" applyAlignment="1">
      <alignment vertical="center"/>
    </xf>
    <xf numFmtId="0" fontId="3" fillId="0" borderId="0" xfId="0" applyFont="1" applyAlignment="1">
      <alignment vertical="center"/>
    </xf>
    <xf numFmtId="4" fontId="4" fillId="0" borderId="0" xfId="0" applyNumberFormat="1" applyFont="1" applyAlignment="1">
      <alignment horizontal="right" vertical="center"/>
    </xf>
    <xf numFmtId="0" fontId="3" fillId="0" borderId="31" xfId="0" applyFont="1" applyBorder="1" applyAlignment="1">
      <alignment horizontal="center" vertical="center"/>
    </xf>
    <xf numFmtId="0" fontId="4" fillId="0" borderId="17" xfId="0" applyFont="1" applyBorder="1" applyAlignment="1">
      <alignment vertical="center"/>
    </xf>
    <xf numFmtId="2" fontId="4" fillId="0" borderId="4" xfId="0" applyNumberFormat="1" applyFont="1" applyBorder="1" applyAlignment="1">
      <alignment horizontal="center" vertical="center" wrapText="1"/>
    </xf>
    <xf numFmtId="0" fontId="0" fillId="0" borderId="36" xfId="0" applyBorder="1" applyProtection="1">
      <protection locked="0"/>
    </xf>
    <xf numFmtId="0" fontId="0" fillId="0" borderId="25" xfId="0" applyBorder="1" applyProtection="1">
      <protection locked="0"/>
    </xf>
    <xf numFmtId="0" fontId="0" fillId="0" borderId="24" xfId="0" applyBorder="1" applyProtection="1">
      <protection locked="0"/>
    </xf>
    <xf numFmtId="0" fontId="0" fillId="0" borderId="35" xfId="0" applyBorder="1" applyProtection="1">
      <protection locked="0"/>
    </xf>
    <xf numFmtId="0" fontId="0" fillId="0" borderId="0" xfId="0" applyProtection="1">
      <protection locked="0"/>
    </xf>
    <xf numFmtId="0" fontId="0" fillId="0" borderId="14" xfId="0" applyBorder="1" applyProtection="1">
      <protection locked="0"/>
    </xf>
    <xf numFmtId="0" fontId="0" fillId="0" borderId="52" xfId="0" applyBorder="1" applyAlignment="1" applyProtection="1">
      <alignment horizontal="centerContinuous"/>
      <protection locked="0"/>
    </xf>
    <xf numFmtId="0" fontId="0" fillId="0" borderId="11" xfId="0" applyBorder="1" applyAlignment="1" applyProtection="1">
      <alignment horizontal="centerContinuous"/>
      <protection locked="0"/>
    </xf>
    <xf numFmtId="0" fontId="0" fillId="0" borderId="20" xfId="0" applyBorder="1" applyAlignment="1" applyProtection="1">
      <alignment horizontal="centerContinuous"/>
      <protection locked="0"/>
    </xf>
    <xf numFmtId="0" fontId="0" fillId="0" borderId="14" xfId="0" applyBorder="1" applyAlignment="1" applyProtection="1">
      <alignment horizontal="centerContinuous"/>
      <protection locked="0"/>
    </xf>
    <xf numFmtId="0" fontId="0" fillId="0" borderId="53" xfId="0" applyBorder="1" applyAlignment="1" applyProtection="1">
      <alignment horizontal="centerContinuous"/>
      <protection locked="0"/>
    </xf>
    <xf numFmtId="0" fontId="0" fillId="0" borderId="54" xfId="0" applyBorder="1" applyAlignment="1" applyProtection="1">
      <alignment horizontal="centerContinuous"/>
      <protection locked="0"/>
    </xf>
    <xf numFmtId="0" fontId="9" fillId="0" borderId="52" xfId="0" applyFont="1" applyBorder="1" applyAlignment="1" applyProtection="1">
      <alignment horizontal="center"/>
      <protection locked="0"/>
    </xf>
    <xf numFmtId="0" fontId="9" fillId="0" borderId="52" xfId="0" applyFont="1" applyBorder="1" applyProtection="1">
      <protection locked="0"/>
    </xf>
    <xf numFmtId="0" fontId="9" fillId="0" borderId="11" xfId="0" applyFont="1" applyBorder="1" applyProtection="1">
      <protection locked="0"/>
    </xf>
    <xf numFmtId="0" fontId="9" fillId="0" borderId="52" xfId="0" applyFont="1" applyBorder="1" applyAlignment="1" applyProtection="1">
      <alignment horizontal="centerContinuous"/>
      <protection locked="0"/>
    </xf>
    <xf numFmtId="0" fontId="9" fillId="0" borderId="21" xfId="0" applyFont="1" applyBorder="1" applyAlignment="1" applyProtection="1">
      <alignment horizontal="centerContinuous"/>
      <protection locked="0"/>
    </xf>
    <xf numFmtId="0" fontId="9" fillId="0" borderId="20" xfId="0" applyFont="1" applyBorder="1" applyAlignment="1" applyProtection="1">
      <alignment horizontal="centerContinuous"/>
      <protection locked="0"/>
    </xf>
    <xf numFmtId="0" fontId="9" fillId="0" borderId="14" xfId="0" applyFont="1" applyBorder="1" applyAlignment="1" applyProtection="1">
      <alignment horizontal="centerContinuous"/>
      <protection locked="0"/>
    </xf>
    <xf numFmtId="0" fontId="9" fillId="0" borderId="53" xfId="0" applyFont="1" applyBorder="1" applyAlignment="1" applyProtection="1">
      <alignment horizontal="centerContinuous"/>
      <protection locked="0"/>
    </xf>
    <xf numFmtId="0" fontId="9" fillId="0" borderId="7" xfId="0" applyFont="1" applyBorder="1" applyAlignment="1" applyProtection="1">
      <alignment horizontal="centerContinuous"/>
      <protection locked="0"/>
    </xf>
    <xf numFmtId="0" fontId="9" fillId="0" borderId="54" xfId="0" applyFont="1" applyBorder="1" applyAlignment="1" applyProtection="1">
      <alignment horizontal="centerContinuous"/>
      <protection locked="0"/>
    </xf>
    <xf numFmtId="0" fontId="10" fillId="0" borderId="0" xfId="0" applyFont="1" applyProtection="1">
      <protection locked="0"/>
    </xf>
    <xf numFmtId="0" fontId="11" fillId="0" borderId="14" xfId="0" applyFont="1" applyBorder="1" applyProtection="1">
      <protection locked="0"/>
    </xf>
    <xf numFmtId="0" fontId="0" fillId="0" borderId="0" xfId="0" applyAlignment="1" applyProtection="1">
      <alignment horizontal="center"/>
      <protection locked="0"/>
    </xf>
    <xf numFmtId="0" fontId="0" fillId="0" borderId="0" xfId="0" applyAlignment="1" applyProtection="1">
      <alignment horizontal="centerContinuous"/>
      <protection locked="0"/>
    </xf>
    <xf numFmtId="0" fontId="0" fillId="0" borderId="6" xfId="0" applyBorder="1" applyAlignment="1" applyProtection="1">
      <alignment horizontal="center"/>
      <protection locked="0"/>
    </xf>
    <xf numFmtId="0" fontId="0" fillId="0" borderId="52"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53" xfId="0" applyBorder="1" applyAlignment="1" applyProtection="1">
      <alignment horizontal="center"/>
      <protection locked="0"/>
    </xf>
    <xf numFmtId="0" fontId="9" fillId="0" borderId="6" xfId="0" applyFont="1" applyBorder="1" applyAlignment="1" applyProtection="1">
      <alignment horizontal="centerContinuous"/>
      <protection locked="0"/>
    </xf>
    <xf numFmtId="0" fontId="9" fillId="0" borderId="12" xfId="0" applyFont="1" applyBorder="1" applyAlignment="1" applyProtection="1">
      <alignment horizontal="centerContinuous"/>
      <protection locked="0"/>
    </xf>
    <xf numFmtId="0" fontId="9" fillId="0" borderId="13" xfId="0" applyFont="1" applyBorder="1" applyAlignment="1" applyProtection="1">
      <alignment horizontal="centerContinuous"/>
      <protection locked="0"/>
    </xf>
    <xf numFmtId="0" fontId="9" fillId="0" borderId="41" xfId="0" applyFont="1" applyBorder="1" applyAlignment="1" applyProtection="1">
      <alignment horizontal="centerContinuous"/>
      <protection locked="0"/>
    </xf>
    <xf numFmtId="0" fontId="9" fillId="0" borderId="3" xfId="0" applyFont="1" applyBorder="1" applyAlignment="1" applyProtection="1">
      <alignment horizontal="centerContinuous"/>
      <protection locked="0"/>
    </xf>
    <xf numFmtId="0" fontId="11" fillId="0" borderId="0" xfId="0" applyFont="1" applyProtection="1">
      <protection locked="0"/>
    </xf>
    <xf numFmtId="0" fontId="0" fillId="0" borderId="34" xfId="0" applyBorder="1" applyProtection="1">
      <protection locked="0"/>
    </xf>
    <xf numFmtId="0" fontId="0" fillId="0" borderId="55" xfId="0" applyBorder="1" applyProtection="1">
      <protection locked="0"/>
    </xf>
    <xf numFmtId="0" fontId="0" fillId="0" borderId="56" xfId="0" applyBorder="1" applyProtection="1">
      <protection locked="0"/>
    </xf>
    <xf numFmtId="0" fontId="0" fillId="0" borderId="18" xfId="0" applyBorder="1" applyAlignment="1" applyProtection="1">
      <alignment horizontal="centerContinuous"/>
      <protection locked="0"/>
    </xf>
    <xf numFmtId="0" fontId="0" fillId="0" borderId="21" xfId="0" applyBorder="1" applyAlignment="1" applyProtection="1">
      <alignment horizontal="centerContinuous"/>
      <protection locked="0"/>
    </xf>
    <xf numFmtId="0" fontId="4" fillId="0" borderId="52" xfId="0" applyFont="1" applyBorder="1" applyAlignment="1" applyProtection="1">
      <alignment horizontal="center"/>
      <protection locked="0"/>
    </xf>
    <xf numFmtId="0" fontId="0" fillId="0" borderId="52" xfId="0" applyBorder="1" applyProtection="1">
      <protection locked="0"/>
    </xf>
    <xf numFmtId="0" fontId="0" fillId="0" borderId="21" xfId="0" applyBorder="1" applyProtection="1">
      <protection locked="0"/>
    </xf>
    <xf numFmtId="0" fontId="0" fillId="0" borderId="11" xfId="0" applyBorder="1" applyProtection="1">
      <protection locked="0"/>
    </xf>
    <xf numFmtId="0" fontId="0" fillId="0" borderId="28" xfId="0" applyBorder="1" applyAlignment="1" applyProtection="1">
      <alignment horizontal="centerContinuous"/>
      <protection locked="0"/>
    </xf>
    <xf numFmtId="0" fontId="4" fillId="0" borderId="20" xfId="0" applyFont="1" applyBorder="1" applyAlignment="1" applyProtection="1">
      <alignment horizontal="center"/>
      <protection locked="0"/>
    </xf>
    <xf numFmtId="0" fontId="0" fillId="0" borderId="20" xfId="0" applyBorder="1" applyProtection="1">
      <protection locked="0"/>
    </xf>
    <xf numFmtId="0" fontId="4" fillId="0" borderId="20" xfId="0" applyFont="1" applyBorder="1" applyProtection="1">
      <protection locked="0"/>
    </xf>
    <xf numFmtId="0" fontId="12" fillId="0" borderId="52" xfId="0" applyFont="1" applyBorder="1" applyProtection="1">
      <protection locked="0"/>
    </xf>
    <xf numFmtId="0" fontId="13" fillId="0" borderId="11" xfId="0" applyFont="1" applyBorder="1" applyAlignment="1" applyProtection="1">
      <alignment horizontal="centerContinuous"/>
      <protection locked="0"/>
    </xf>
    <xf numFmtId="0" fontId="9" fillId="0" borderId="53" xfId="0" applyFont="1" applyBorder="1" applyAlignment="1" applyProtection="1">
      <alignment horizontal="center"/>
      <protection locked="0"/>
    </xf>
    <xf numFmtId="0" fontId="0" fillId="0" borderId="7" xfId="0" applyBorder="1" applyAlignment="1" applyProtection="1">
      <alignment horizontal="centerContinuous"/>
      <protection locked="0"/>
    </xf>
    <xf numFmtId="0" fontId="3" fillId="0" borderId="14" xfId="0" applyFont="1" applyBorder="1" applyProtection="1">
      <protection locked="0"/>
    </xf>
    <xf numFmtId="0" fontId="0" fillId="0" borderId="33" xfId="0" applyBorder="1" applyProtection="1">
      <protection locked="0"/>
    </xf>
    <xf numFmtId="0" fontId="0" fillId="0" borderId="22" xfId="0" applyBorder="1" applyProtection="1">
      <protection locked="0"/>
    </xf>
    <xf numFmtId="0" fontId="0" fillId="0" borderId="23" xfId="0" applyBorder="1" applyProtection="1">
      <protection locked="0"/>
    </xf>
    <xf numFmtId="1" fontId="14" fillId="0" borderId="36" xfId="0" applyNumberFormat="1" applyFont="1" applyBorder="1" applyAlignment="1">
      <alignment horizontal="center"/>
    </xf>
    <xf numFmtId="0" fontId="14" fillId="0" borderId="57" xfId="0" applyFont="1" applyBorder="1" applyAlignment="1" applyProtection="1">
      <alignment horizontal="center"/>
      <protection locked="0"/>
    </xf>
    <xf numFmtId="0" fontId="0" fillId="0" borderId="39" xfId="0" applyBorder="1" applyAlignment="1" applyProtection="1">
      <alignment horizontal="center"/>
      <protection locked="0"/>
    </xf>
    <xf numFmtId="0" fontId="6" fillId="0" borderId="52" xfId="0" applyFont="1" applyBorder="1" applyAlignment="1" applyProtection="1">
      <alignment horizontal="center"/>
      <protection locked="0"/>
    </xf>
    <xf numFmtId="0" fontId="0" fillId="0" borderId="9" xfId="0" applyBorder="1" applyAlignment="1" applyProtection="1">
      <alignment horizontal="center"/>
      <protection locked="0"/>
    </xf>
    <xf numFmtId="0" fontId="6" fillId="0" borderId="34" xfId="0" applyFont="1" applyBorder="1" applyAlignment="1" applyProtection="1">
      <alignment horizontal="center"/>
      <protection locked="0"/>
    </xf>
    <xf numFmtId="0" fontId="6" fillId="0" borderId="58" xfId="0" applyFont="1" applyBorder="1" applyAlignment="1" applyProtection="1">
      <alignment horizontal="center"/>
      <protection locked="0"/>
    </xf>
    <xf numFmtId="0" fontId="6" fillId="0" borderId="59" xfId="0" applyFont="1" applyBorder="1" applyAlignment="1" applyProtection="1">
      <alignment horizontal="center"/>
      <protection locked="0"/>
    </xf>
    <xf numFmtId="0" fontId="0" fillId="0" borderId="33" xfId="0" applyBorder="1" applyAlignment="1" applyProtection="1">
      <alignment horizontal="left"/>
      <protection locked="0"/>
    </xf>
    <xf numFmtId="0" fontId="0" fillId="0" borderId="22" xfId="0" applyBorder="1" applyAlignment="1" applyProtection="1">
      <alignment horizontal="left"/>
      <protection locked="0"/>
    </xf>
    <xf numFmtId="0" fontId="15" fillId="0" borderId="23" xfId="0" applyFont="1" applyBorder="1" applyAlignment="1" applyProtection="1">
      <alignment horizontal="left"/>
      <protection locked="0"/>
    </xf>
    <xf numFmtId="0" fontId="14" fillId="0" borderId="36" xfId="0" applyFont="1" applyBorder="1" applyAlignment="1">
      <alignment horizontal="center"/>
    </xf>
    <xf numFmtId="165" fontId="14" fillId="0" borderId="31" xfId="0" applyNumberFormat="1" applyFont="1" applyBorder="1" applyAlignment="1" applyProtection="1">
      <alignment horizontal="center"/>
      <protection locked="0"/>
    </xf>
    <xf numFmtId="0" fontId="13" fillId="0" borderId="39" xfId="0" applyFont="1" applyBorder="1" applyAlignment="1" applyProtection="1">
      <alignment horizontal="center"/>
      <protection locked="0"/>
    </xf>
    <xf numFmtId="0" fontId="13" fillId="0" borderId="52" xfId="0" applyFont="1" applyBorder="1" applyAlignment="1" applyProtection="1">
      <alignment horizontal="center"/>
      <protection locked="0"/>
    </xf>
    <xf numFmtId="0" fontId="13" fillId="0" borderId="9" xfId="0" applyFont="1" applyBorder="1" applyAlignment="1" applyProtection="1">
      <alignment horizontal="center"/>
      <protection locked="0"/>
    </xf>
    <xf numFmtId="0" fontId="12" fillId="0" borderId="34" xfId="0" applyFont="1" applyBorder="1" applyAlignment="1" applyProtection="1">
      <alignment horizontal="center"/>
      <protection locked="0"/>
    </xf>
    <xf numFmtId="0" fontId="12" fillId="0" borderId="58" xfId="0" applyFont="1" applyBorder="1" applyAlignment="1" applyProtection="1">
      <alignment horizontal="center"/>
      <protection locked="0"/>
    </xf>
    <xf numFmtId="0" fontId="12" fillId="0" borderId="59" xfId="0" applyFont="1" applyBorder="1" applyAlignment="1" applyProtection="1">
      <alignment horizontal="center"/>
      <protection locked="0"/>
    </xf>
    <xf numFmtId="0" fontId="0" fillId="0" borderId="51" xfId="0" applyBorder="1" applyProtection="1">
      <protection locked="0"/>
    </xf>
    <xf numFmtId="0" fontId="0" fillId="0" borderId="60" xfId="0" applyBorder="1" applyProtection="1">
      <protection locked="0"/>
    </xf>
    <xf numFmtId="0" fontId="0" fillId="0" borderId="50" xfId="0" applyBorder="1" applyProtection="1">
      <protection locked="0"/>
    </xf>
    <xf numFmtId="0" fontId="14" fillId="0" borderId="61" xfId="0" applyFont="1" applyBorder="1" applyAlignment="1">
      <alignment horizontal="center"/>
    </xf>
    <xf numFmtId="0" fontId="14" fillId="0" borderId="61" xfId="0" applyFont="1" applyBorder="1" applyAlignment="1" applyProtection="1">
      <alignment horizontal="centerContinuous"/>
      <protection locked="0"/>
    </xf>
    <xf numFmtId="0" fontId="14" fillId="0" borderId="62" xfId="0" applyFont="1" applyBorder="1" applyAlignment="1">
      <alignment horizontal="centerContinuous"/>
    </xf>
    <xf numFmtId="0" fontId="9" fillId="0" borderId="63" xfId="0" applyFont="1" applyBorder="1" applyAlignment="1" applyProtection="1">
      <alignment horizontal="center"/>
      <protection locked="0"/>
    </xf>
    <xf numFmtId="0" fontId="9" fillId="0" borderId="63" xfId="0" applyFont="1" applyBorder="1" applyAlignment="1" applyProtection="1">
      <alignment horizontal="centerContinuous"/>
      <protection locked="0"/>
    </xf>
    <xf numFmtId="0" fontId="9" fillId="0" borderId="64" xfId="0" applyFont="1" applyBorder="1" applyAlignment="1" applyProtection="1">
      <alignment horizontal="centerContinuous"/>
      <protection locked="0"/>
    </xf>
    <xf numFmtId="0" fontId="16" fillId="0" borderId="14" xfId="0" applyFont="1" applyBorder="1" applyAlignment="1" applyProtection="1">
      <alignment horizontal="centerContinuous"/>
      <protection locked="0"/>
    </xf>
    <xf numFmtId="0" fontId="0" fillId="0" borderId="36" xfId="0" applyBorder="1" applyAlignment="1" applyProtection="1">
      <alignment horizontal="centerContinuous"/>
      <protection locked="0"/>
    </xf>
    <xf numFmtId="0" fontId="0" fillId="0" borderId="25" xfId="0" applyBorder="1" applyAlignment="1" applyProtection="1">
      <alignment horizontal="centerContinuous"/>
      <protection locked="0"/>
    </xf>
    <xf numFmtId="0" fontId="16" fillId="0" borderId="24" xfId="0" applyFont="1" applyBorder="1" applyAlignment="1" applyProtection="1">
      <alignment horizontal="centerContinuous"/>
      <protection locked="0"/>
    </xf>
    <xf numFmtId="0" fontId="0" fillId="0" borderId="35" xfId="0" applyBorder="1" applyAlignment="1" applyProtection="1">
      <alignment horizontal="centerContinuous"/>
      <protection locked="0"/>
    </xf>
    <xf numFmtId="0" fontId="17" fillId="0" borderId="14" xfId="0" applyFont="1" applyBorder="1" applyAlignment="1" applyProtection="1">
      <alignment horizontal="centerContinuous"/>
      <protection locked="0"/>
    </xf>
    <xf numFmtId="0" fontId="3" fillId="0" borderId="0" xfId="0" applyFont="1" applyProtection="1">
      <protection locked="0"/>
    </xf>
    <xf numFmtId="0" fontId="18" fillId="0" borderId="0" xfId="0" applyFont="1" applyAlignment="1" applyProtection="1">
      <alignment horizontal="centerContinuous"/>
      <protection locked="0"/>
    </xf>
    <xf numFmtId="0" fontId="19" fillId="0" borderId="14" xfId="0" applyFont="1" applyBorder="1" applyAlignment="1" applyProtection="1">
      <alignment horizontal="centerContinuous"/>
      <protection locked="0"/>
    </xf>
    <xf numFmtId="0" fontId="20" fillId="0" borderId="34" xfId="0" applyFont="1" applyBorder="1" applyProtection="1">
      <protection locked="0"/>
    </xf>
    <xf numFmtId="0" fontId="18" fillId="0" borderId="55" xfId="0" applyFont="1" applyBorder="1" applyAlignment="1" applyProtection="1">
      <alignment horizontal="centerContinuous"/>
      <protection locked="0"/>
    </xf>
    <xf numFmtId="0" fontId="0" fillId="5" borderId="20" xfId="0" applyFill="1" applyBorder="1" applyAlignment="1" applyProtection="1">
      <alignment horizontal="centerContinuous"/>
      <protection locked="0"/>
    </xf>
    <xf numFmtId="2" fontId="25" fillId="0" borderId="61" xfId="0" applyNumberFormat="1" applyFont="1" applyBorder="1" applyAlignment="1" applyProtection="1">
      <alignment horizontal="centerContinuous"/>
      <protection locked="0"/>
    </xf>
    <xf numFmtId="1" fontId="25" fillId="0" borderId="61" xfId="0" applyNumberFormat="1" applyFont="1" applyBorder="1" applyAlignment="1" applyProtection="1">
      <alignment horizontal="center"/>
      <protection locked="0"/>
    </xf>
    <xf numFmtId="2" fontId="25" fillId="0" borderId="61" xfId="0" applyNumberFormat="1" applyFont="1" applyBorder="1" applyAlignment="1" applyProtection="1">
      <alignment horizontal="center"/>
      <protection locked="0"/>
    </xf>
    <xf numFmtId="2" fontId="25" fillId="0" borderId="62" xfId="0" applyNumberFormat="1" applyFont="1" applyBorder="1" applyAlignment="1">
      <alignment horizontal="centerContinuous"/>
    </xf>
    <xf numFmtId="0" fontId="3" fillId="0" borderId="66" xfId="0" applyFont="1" applyBorder="1" applyAlignment="1" applyProtection="1">
      <alignment horizontal="centerContinuous"/>
      <protection locked="0"/>
    </xf>
    <xf numFmtId="0" fontId="3" fillId="0" borderId="67" xfId="0" applyFont="1" applyBorder="1" applyAlignment="1" applyProtection="1">
      <alignment horizontal="centerContinuous"/>
      <protection locked="0"/>
    </xf>
    <xf numFmtId="0" fontId="3" fillId="0" borderId="68" xfId="0" applyFont="1" applyBorder="1" applyAlignment="1" applyProtection="1">
      <alignment horizontal="centerContinuous"/>
      <protection locked="0"/>
    </xf>
    <xf numFmtId="0" fontId="3" fillId="0" borderId="69" xfId="0" applyFont="1" applyBorder="1" applyAlignment="1" applyProtection="1">
      <alignment horizontal="centerContinuous"/>
      <protection locked="0"/>
    </xf>
    <xf numFmtId="0" fontId="3" fillId="0" borderId="0" xfId="0" applyFont="1" applyAlignment="1" applyProtection="1">
      <alignment horizontal="centerContinuous"/>
      <protection locked="0"/>
    </xf>
    <xf numFmtId="0" fontId="3" fillId="0" borderId="14" xfId="0" applyFont="1" applyBorder="1" applyAlignment="1" applyProtection="1">
      <alignment horizontal="centerContinuous"/>
      <protection locked="0"/>
    </xf>
    <xf numFmtId="2" fontId="25" fillId="0" borderId="61" xfId="0" applyNumberFormat="1" applyFont="1" applyBorder="1" applyAlignment="1">
      <alignment horizontal="centerContinuous"/>
    </xf>
    <xf numFmtId="0" fontId="0" fillId="0" borderId="18" xfId="0" applyBorder="1" applyProtection="1">
      <protection locked="0"/>
    </xf>
    <xf numFmtId="0" fontId="0" fillId="0" borderId="28" xfId="0" applyBorder="1" applyProtection="1">
      <protection locked="0"/>
    </xf>
    <xf numFmtId="0" fontId="3" fillId="0" borderId="36" xfId="0" applyFont="1" applyBorder="1" applyAlignment="1" applyProtection="1">
      <alignment horizontal="center"/>
      <protection locked="0"/>
    </xf>
    <xf numFmtId="0" fontId="3" fillId="0" borderId="24" xfId="0" applyFont="1" applyBorder="1" applyProtection="1">
      <protection locked="0"/>
    </xf>
    <xf numFmtId="0" fontId="3" fillId="0" borderId="51" xfId="0" applyFont="1" applyBorder="1" applyAlignment="1" applyProtection="1">
      <alignment horizontal="center"/>
      <protection locked="0"/>
    </xf>
    <xf numFmtId="0" fontId="3" fillId="0" borderId="56" xfId="0" applyFont="1" applyBorder="1" applyAlignment="1" applyProtection="1">
      <alignment horizontal="left"/>
      <protection locked="0"/>
    </xf>
    <xf numFmtId="0" fontId="0" fillId="0" borderId="53" xfId="0" applyBorder="1" applyProtection="1">
      <protection locked="0"/>
    </xf>
    <xf numFmtId="0" fontId="0" fillId="0" borderId="29" xfId="0" applyBorder="1" applyProtection="1">
      <protection locked="0"/>
    </xf>
    <xf numFmtId="0" fontId="3" fillId="0" borderId="52" xfId="0" applyFont="1" applyBorder="1" applyAlignment="1" applyProtection="1">
      <alignment horizontal="centerContinuous"/>
      <protection locked="0"/>
    </xf>
    <xf numFmtId="2" fontId="3" fillId="0" borderId="52" xfId="0" applyNumberFormat="1" applyFont="1" applyBorder="1" applyProtection="1">
      <protection locked="0"/>
    </xf>
    <xf numFmtId="2" fontId="3" fillId="0" borderId="18" xfId="0" applyNumberFormat="1" applyFont="1" applyBorder="1" applyProtection="1">
      <protection locked="0"/>
    </xf>
    <xf numFmtId="0" fontId="3" fillId="0" borderId="20" xfId="0" applyFont="1" applyBorder="1" applyAlignment="1" applyProtection="1">
      <alignment horizontal="centerContinuous"/>
      <protection locked="0"/>
    </xf>
    <xf numFmtId="0" fontId="3" fillId="0" borderId="28" xfId="0" applyFont="1" applyBorder="1" applyAlignment="1" applyProtection="1">
      <alignment horizontal="centerContinuous"/>
      <protection locked="0"/>
    </xf>
    <xf numFmtId="0" fontId="3" fillId="0" borderId="53" xfId="0" applyFont="1" applyBorder="1" applyAlignment="1" applyProtection="1">
      <alignment horizontal="centerContinuous"/>
      <protection locked="0"/>
    </xf>
    <xf numFmtId="0" fontId="3" fillId="0" borderId="29" xfId="0" applyFont="1" applyBorder="1" applyAlignment="1" applyProtection="1">
      <alignment horizontal="centerContinuous"/>
      <protection locked="0"/>
    </xf>
    <xf numFmtId="0" fontId="3" fillId="0" borderId="36" xfId="0" applyFont="1" applyBorder="1" applyAlignment="1" applyProtection="1">
      <alignment horizontal="centerContinuous"/>
      <protection locked="0"/>
    </xf>
    <xf numFmtId="0" fontId="3" fillId="0" borderId="51" xfId="0" applyFont="1" applyBorder="1" applyAlignment="1" applyProtection="1">
      <alignment horizontal="centerContinuous"/>
      <protection locked="0"/>
    </xf>
    <xf numFmtId="0" fontId="3" fillId="0" borderId="56" xfId="0" applyFont="1" applyBorder="1" applyProtection="1">
      <protection locked="0"/>
    </xf>
    <xf numFmtId="0" fontId="26" fillId="0" borderId="0" xfId="0" applyFont="1" applyProtection="1">
      <protection locked="0"/>
    </xf>
    <xf numFmtId="0" fontId="25" fillId="0" borderId="62" xfId="0" applyFont="1" applyBorder="1" applyAlignment="1">
      <alignment horizontal="center"/>
    </xf>
    <xf numFmtId="0" fontId="25" fillId="7" borderId="61" xfId="0" applyFont="1" applyFill="1" applyBorder="1" applyAlignment="1" applyProtection="1">
      <alignment horizontal="centerContinuous"/>
      <protection locked="0"/>
    </xf>
    <xf numFmtId="0" fontId="26" fillId="0" borderId="14" xfId="0" applyFont="1" applyBorder="1" applyProtection="1">
      <protection locked="0"/>
    </xf>
    <xf numFmtId="0" fontId="25" fillId="0" borderId="0" xfId="0" applyFont="1" applyAlignment="1">
      <alignment horizontal="centerContinuous"/>
    </xf>
    <xf numFmtId="0" fontId="25" fillId="0" borderId="0" xfId="0" applyFont="1" applyAlignment="1" applyProtection="1">
      <alignment horizontal="centerContinuous"/>
      <protection locked="0"/>
    </xf>
    <xf numFmtId="2" fontId="25" fillId="0" borderId="0" xfId="0" applyNumberFormat="1" applyFont="1" applyAlignment="1">
      <alignment horizontal="centerContinuous"/>
    </xf>
    <xf numFmtId="2" fontId="3" fillId="0" borderId="0" xfId="0" applyNumberFormat="1" applyFont="1" applyProtection="1">
      <protection locked="0"/>
    </xf>
    <xf numFmtId="0" fontId="3" fillId="0" borderId="0" xfId="0" applyFont="1" applyAlignment="1" applyProtection="1">
      <alignment horizontal="left"/>
      <protection locked="0"/>
    </xf>
    <xf numFmtId="2" fontId="25" fillId="0" borderId="0" xfId="0" applyNumberFormat="1" applyFont="1" applyAlignment="1" applyProtection="1">
      <alignment horizontal="center"/>
      <protection locked="0"/>
    </xf>
    <xf numFmtId="1" fontId="25" fillId="0" borderId="0" xfId="0" applyNumberFormat="1" applyFont="1" applyAlignment="1" applyProtection="1">
      <alignment horizontal="center"/>
      <protection locked="0"/>
    </xf>
    <xf numFmtId="2" fontId="25" fillId="0" borderId="0" xfId="0" applyNumberFormat="1" applyFont="1" applyAlignment="1" applyProtection="1">
      <alignment horizontal="centerContinuous"/>
      <protection locked="0"/>
    </xf>
    <xf numFmtId="0" fontId="3" fillId="6" borderId="56" xfId="0" applyFont="1" applyFill="1" applyBorder="1"/>
    <xf numFmtId="0" fontId="3" fillId="6" borderId="55" xfId="0" applyFont="1" applyFill="1" applyBorder="1"/>
    <xf numFmtId="0" fontId="0" fillId="6" borderId="34" xfId="0" applyFill="1" applyBorder="1"/>
    <xf numFmtId="0" fontId="0" fillId="6" borderId="35" xfId="0" applyFill="1" applyBorder="1"/>
    <xf numFmtId="0" fontId="3" fillId="6" borderId="14" xfId="0" applyFont="1" applyFill="1" applyBorder="1"/>
    <xf numFmtId="0" fontId="3" fillId="6" borderId="0" xfId="0" applyFont="1" applyFill="1"/>
    <xf numFmtId="0" fontId="4" fillId="0" borderId="0" xfId="0" applyFont="1" applyAlignment="1">
      <alignment vertical="center" wrapText="1"/>
    </xf>
    <xf numFmtId="0" fontId="4" fillId="0" borderId="0" xfId="2"/>
    <xf numFmtId="0" fontId="4" fillId="0" borderId="0" xfId="2" applyAlignment="1">
      <alignment horizontal="center" vertical="center"/>
    </xf>
    <xf numFmtId="0" fontId="4" fillId="0" borderId="1" xfId="2" applyBorder="1" applyAlignment="1">
      <alignment horizontal="center" vertical="center"/>
    </xf>
    <xf numFmtId="0" fontId="4" fillId="0" borderId="0" xfId="2" applyAlignment="1">
      <alignment vertical="center"/>
    </xf>
    <xf numFmtId="0" fontId="4" fillId="0" borderId="6" xfId="2" applyBorder="1" applyAlignment="1">
      <alignment horizontal="center" vertical="center"/>
    </xf>
    <xf numFmtId="0" fontId="4" fillId="0" borderId="0" xfId="2" applyProtection="1">
      <protection locked="0"/>
    </xf>
    <xf numFmtId="0" fontId="4" fillId="0" borderId="0" xfId="2" applyAlignment="1" applyProtection="1">
      <alignment horizontal="centerContinuous"/>
      <protection locked="0"/>
    </xf>
    <xf numFmtId="0" fontId="3" fillId="0" borderId="0" xfId="2" applyFont="1" applyAlignment="1" applyProtection="1">
      <alignment horizontal="center"/>
      <protection locked="0"/>
    </xf>
    <xf numFmtId="0" fontId="3" fillId="0" borderId="0" xfId="2" applyFont="1" applyProtection="1">
      <protection locked="0"/>
    </xf>
    <xf numFmtId="0" fontId="3" fillId="0" borderId="0" xfId="2" applyFont="1" applyAlignment="1" applyProtection="1">
      <alignment horizontal="centerContinuous"/>
      <protection locked="0"/>
    </xf>
    <xf numFmtId="0" fontId="4" fillId="0" borderId="25" xfId="2" applyBorder="1" applyProtection="1">
      <protection locked="0"/>
    </xf>
    <xf numFmtId="0" fontId="4" fillId="0" borderId="35" xfId="2" applyBorder="1" applyProtection="1">
      <protection locked="0"/>
    </xf>
    <xf numFmtId="0" fontId="3" fillId="0" borderId="4" xfId="2" applyFont="1" applyBorder="1" applyProtection="1">
      <protection locked="0"/>
    </xf>
    <xf numFmtId="0" fontId="4" fillId="0" borderId="0" xfId="2" applyAlignment="1" applyProtection="1">
      <alignment horizontal="left"/>
      <protection locked="0"/>
    </xf>
    <xf numFmtId="0" fontId="6" fillId="0" borderId="0" xfId="2" applyFont="1" applyAlignment="1" applyProtection="1">
      <alignment horizontal="center"/>
      <protection locked="0"/>
    </xf>
    <xf numFmtId="0" fontId="4" fillId="0" borderId="14" xfId="2" applyBorder="1" applyProtection="1">
      <protection locked="0"/>
    </xf>
    <xf numFmtId="0" fontId="25" fillId="0" borderId="0" xfId="2" applyFont="1" applyAlignment="1">
      <alignment horizontal="center"/>
    </xf>
    <xf numFmtId="165" fontId="3" fillId="0" borderId="0" xfId="2" applyNumberFormat="1" applyFont="1" applyAlignment="1" applyProtection="1">
      <alignment horizontal="left"/>
      <protection locked="0"/>
    </xf>
    <xf numFmtId="0" fontId="15" fillId="0" borderId="0" xfId="2" applyFont="1" applyAlignment="1" applyProtection="1">
      <alignment horizontal="left"/>
      <protection locked="0"/>
    </xf>
    <xf numFmtId="0" fontId="17" fillId="0" borderId="26" xfId="2" applyFont="1" applyBorder="1" applyProtection="1">
      <protection locked="0"/>
    </xf>
    <xf numFmtId="0" fontId="15" fillId="0" borderId="14" xfId="2" applyFont="1" applyBorder="1" applyAlignment="1" applyProtection="1">
      <alignment horizontal="centerContinuous"/>
      <protection locked="0"/>
    </xf>
    <xf numFmtId="0" fontId="4" fillId="0" borderId="36" xfId="2" applyBorder="1" applyAlignment="1" applyProtection="1">
      <alignment horizontal="centerContinuous"/>
      <protection locked="0"/>
    </xf>
    <xf numFmtId="0" fontId="4" fillId="0" borderId="25" xfId="2" applyBorder="1" applyAlignment="1" applyProtection="1">
      <alignment horizontal="centerContinuous"/>
      <protection locked="0"/>
    </xf>
    <xf numFmtId="0" fontId="15" fillId="0" borderId="24" xfId="2" applyFont="1" applyBorder="1" applyAlignment="1" applyProtection="1">
      <alignment horizontal="centerContinuous"/>
      <protection locked="0"/>
    </xf>
    <xf numFmtId="0" fontId="4" fillId="0" borderId="35" xfId="2" applyBorder="1" applyAlignment="1" applyProtection="1">
      <alignment horizontal="centerContinuous"/>
      <protection locked="0"/>
    </xf>
    <xf numFmtId="0" fontId="17" fillId="0" borderId="14" xfId="2" applyFont="1" applyBorder="1" applyAlignment="1" applyProtection="1">
      <alignment horizontal="centerContinuous"/>
      <protection locked="0"/>
    </xf>
    <xf numFmtId="0" fontId="4" fillId="0" borderId="34" xfId="2" applyBorder="1" applyProtection="1">
      <protection locked="0"/>
    </xf>
    <xf numFmtId="0" fontId="4" fillId="0" borderId="55" xfId="2" applyBorder="1" applyProtection="1">
      <protection locked="0"/>
    </xf>
    <xf numFmtId="0" fontId="18" fillId="0" borderId="0" xfId="2" applyFont="1" applyAlignment="1" applyProtection="1">
      <alignment horizontal="centerContinuous"/>
      <protection locked="0"/>
    </xf>
    <xf numFmtId="0" fontId="19" fillId="0" borderId="14" xfId="2" applyFont="1" applyBorder="1" applyAlignment="1" applyProtection="1">
      <alignment horizontal="centerContinuous"/>
      <protection locked="0"/>
    </xf>
    <xf numFmtId="0" fontId="18" fillId="0" borderId="55" xfId="2" applyFont="1" applyBorder="1" applyAlignment="1" applyProtection="1">
      <alignment horizontal="centerContinuous"/>
      <protection locked="0"/>
    </xf>
    <xf numFmtId="0" fontId="18" fillId="0" borderId="34" xfId="2" applyFont="1" applyBorder="1" applyAlignment="1" applyProtection="1">
      <alignment horizontal="centerContinuous"/>
      <protection locked="0"/>
    </xf>
    <xf numFmtId="0" fontId="18" fillId="0" borderId="35" xfId="2" applyFont="1" applyBorder="1" applyAlignment="1" applyProtection="1">
      <alignment horizontal="centerContinuous"/>
      <protection locked="0"/>
    </xf>
    <xf numFmtId="0" fontId="4" fillId="0" borderId="35" xfId="2" applyBorder="1" applyAlignment="1" applyProtection="1">
      <alignment horizontal="left"/>
      <protection locked="0"/>
    </xf>
    <xf numFmtId="0" fontId="6" fillId="0" borderId="14" xfId="2" applyFont="1" applyBorder="1" applyAlignment="1" applyProtection="1">
      <alignment horizontal="center"/>
      <protection locked="0"/>
    </xf>
    <xf numFmtId="0" fontId="4" fillId="0" borderId="14" xfId="2" applyBorder="1" applyAlignment="1" applyProtection="1">
      <alignment horizontal="center"/>
      <protection locked="0"/>
    </xf>
    <xf numFmtId="0" fontId="3" fillId="0" borderId="14" xfId="2" applyFont="1" applyBorder="1" applyAlignment="1" applyProtection="1">
      <alignment horizontal="centerContinuous"/>
      <protection locked="0"/>
    </xf>
    <xf numFmtId="0" fontId="3" fillId="0" borderId="35" xfId="2" applyFont="1" applyBorder="1" applyAlignment="1" applyProtection="1">
      <alignment horizontal="centerContinuous"/>
      <protection locked="0"/>
    </xf>
    <xf numFmtId="0" fontId="13" fillId="0" borderId="14" xfId="2" applyFont="1" applyBorder="1" applyAlignment="1" applyProtection="1">
      <alignment horizontal="centerContinuous"/>
      <protection locked="0"/>
    </xf>
    <xf numFmtId="0" fontId="4" fillId="0" borderId="24" xfId="2" applyBorder="1" applyProtection="1">
      <protection locked="0"/>
    </xf>
    <xf numFmtId="0" fontId="4" fillId="0" borderId="36" xfId="2" applyBorder="1" applyProtection="1">
      <protection locked="0"/>
    </xf>
    <xf numFmtId="165" fontId="13" fillId="0" borderId="14" xfId="2" applyNumberFormat="1" applyFont="1" applyBorder="1" applyAlignment="1" applyProtection="1">
      <alignment horizontal="right"/>
      <protection locked="0"/>
    </xf>
    <xf numFmtId="0" fontId="4" fillId="0" borderId="14" xfId="2" applyBorder="1" applyAlignment="1" applyProtection="1">
      <alignment horizontal="right"/>
      <protection locked="0"/>
    </xf>
    <xf numFmtId="0" fontId="4" fillId="0" borderId="0" xfId="2" applyAlignment="1" applyProtection="1">
      <alignment horizontal="right"/>
      <protection locked="0"/>
    </xf>
    <xf numFmtId="0" fontId="3" fillId="0" borderId="73" xfId="0" applyFont="1" applyBorder="1" applyAlignment="1" applyProtection="1">
      <alignment horizontal="centerContinuous"/>
      <protection locked="0"/>
    </xf>
    <xf numFmtId="0" fontId="3" fillId="0" borderId="39" xfId="0" applyFont="1" applyBorder="1" applyAlignment="1" applyProtection="1">
      <alignment horizontal="centerContinuous"/>
      <protection locked="0"/>
    </xf>
    <xf numFmtId="2" fontId="25" fillId="0" borderId="74" xfId="0" applyNumberFormat="1" applyFont="1" applyBorder="1" applyAlignment="1">
      <alignment horizontal="centerContinuous"/>
    </xf>
    <xf numFmtId="0" fontId="6" fillId="0" borderId="35" xfId="2" applyFont="1" applyBorder="1" applyAlignment="1" applyProtection="1">
      <alignment horizontal="center"/>
      <protection locked="0"/>
    </xf>
    <xf numFmtId="0" fontId="4" fillId="0" borderId="35" xfId="2" applyBorder="1"/>
    <xf numFmtId="0" fontId="3" fillId="0" borderId="35" xfId="2" applyFont="1" applyBorder="1" applyAlignment="1" applyProtection="1">
      <alignment horizontal="center"/>
      <protection locked="0"/>
    </xf>
    <xf numFmtId="0" fontId="5" fillId="0" borderId="56" xfId="0" applyFont="1" applyBorder="1" applyAlignment="1" applyProtection="1">
      <alignment horizontal="centerContinuous"/>
      <protection locked="0"/>
    </xf>
    <xf numFmtId="0" fontId="14" fillId="7" borderId="61" xfId="0" applyFont="1" applyFill="1" applyBorder="1" applyAlignment="1" applyProtection="1">
      <alignment horizontal="centerContinuous"/>
      <protection locked="0"/>
    </xf>
    <xf numFmtId="0" fontId="4" fillId="3" borderId="8" xfId="1" applyFont="1" applyFill="1" applyBorder="1" applyAlignment="1">
      <alignment horizontal="center" vertical="center"/>
    </xf>
    <xf numFmtId="0" fontId="14" fillId="0" borderId="61" xfId="0" applyFont="1" applyBorder="1" applyAlignment="1" applyProtection="1">
      <alignment horizontal="center"/>
      <protection locked="0"/>
    </xf>
    <xf numFmtId="0" fontId="2" fillId="0" borderId="0" xfId="0" applyFont="1"/>
    <xf numFmtId="0" fontId="2" fillId="0" borderId="0" xfId="0" applyFont="1" applyAlignment="1">
      <alignment vertical="center"/>
    </xf>
    <xf numFmtId="0" fontId="2" fillId="3" borderId="8" xfId="1" applyFont="1" applyFill="1" applyBorder="1" applyAlignment="1">
      <alignment horizontal="center" vertical="center"/>
    </xf>
    <xf numFmtId="0" fontId="24" fillId="0" borderId="0" xfId="0" applyFont="1" applyAlignment="1">
      <alignment vertical="center"/>
    </xf>
    <xf numFmtId="0" fontId="4" fillId="0" borderId="0" xfId="0" applyFont="1" applyAlignment="1">
      <alignment horizontal="right" vertical="center"/>
    </xf>
    <xf numFmtId="0" fontId="24" fillId="0" borderId="0" xfId="0" applyFont="1"/>
    <xf numFmtId="0" fontId="24" fillId="0" borderId="0" xfId="2" applyFont="1"/>
    <xf numFmtId="0" fontId="3" fillId="0" borderId="4" xfId="0" applyFont="1" applyBorder="1" applyAlignment="1">
      <alignment horizontal="left" vertical="center"/>
    </xf>
    <xf numFmtId="0" fontId="4" fillId="0" borderId="0" xfId="0" applyFont="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6" fillId="0" borderId="15" xfId="0" applyFont="1" applyBorder="1" applyAlignment="1">
      <alignment horizontal="center" vertical="center"/>
    </xf>
    <xf numFmtId="0" fontId="2" fillId="0" borderId="8" xfId="1" applyFont="1" applyFill="1" applyBorder="1" applyAlignment="1">
      <alignment horizontal="center" vertical="center"/>
    </xf>
    <xf numFmtId="0" fontId="2" fillId="0" borderId="1" xfId="2" applyFont="1" applyBorder="1" applyAlignment="1">
      <alignment horizontal="center" vertical="center"/>
    </xf>
    <xf numFmtId="0" fontId="2" fillId="0" borderId="4" xfId="2" applyFont="1" applyBorder="1" applyAlignment="1">
      <alignment horizontal="center" vertical="center"/>
    </xf>
    <xf numFmtId="0" fontId="2" fillId="3" borderId="8" xfId="2" applyFont="1" applyFill="1" applyBorder="1" applyAlignment="1">
      <alignment horizontal="center" vertical="center"/>
    </xf>
    <xf numFmtId="0" fontId="2" fillId="0" borderId="13" xfId="2" applyFont="1" applyBorder="1" applyAlignment="1">
      <alignment horizontal="center" vertical="center"/>
    </xf>
    <xf numFmtId="2" fontId="6" fillId="0" borderId="0" xfId="0" applyNumberFormat="1" applyFont="1" applyAlignment="1">
      <alignment vertical="center" wrapText="1"/>
    </xf>
    <xf numFmtId="4" fontId="3" fillId="0" borderId="27" xfId="0" applyNumberFormat="1" applyFont="1" applyBorder="1" applyAlignment="1">
      <alignment horizontal="right" vertical="center"/>
    </xf>
    <xf numFmtId="0" fontId="4" fillId="0" borderId="0" xfId="0" applyFont="1" applyAlignment="1">
      <alignment horizontal="right"/>
    </xf>
    <xf numFmtId="0" fontId="2" fillId="0" borderId="0" xfId="2" applyFont="1"/>
    <xf numFmtId="0" fontId="4" fillId="0" borderId="4" xfId="0" applyFont="1" applyBorder="1" applyAlignment="1">
      <alignment vertical="center"/>
    </xf>
    <xf numFmtId="0" fontId="2" fillId="0" borderId="0" xfId="2" applyFont="1" applyAlignment="1">
      <alignment wrapText="1"/>
    </xf>
    <xf numFmtId="0" fontId="3" fillId="0" borderId="0" xfId="0" applyFont="1"/>
    <xf numFmtId="0" fontId="2" fillId="0" borderId="4" xfId="5" applyBorder="1" applyAlignment="1">
      <alignment vertical="center"/>
    </xf>
    <xf numFmtId="4" fontId="2" fillId="0" borderId="4" xfId="0" applyNumberFormat="1" applyFont="1" applyBorder="1" applyAlignment="1">
      <alignment horizontal="center" vertical="center" wrapText="1"/>
    </xf>
    <xf numFmtId="0" fontId="33" fillId="0" borderId="4" xfId="0" applyFont="1" applyBorder="1" applyAlignment="1">
      <alignment horizontal="right" vertical="center" wrapText="1"/>
    </xf>
    <xf numFmtId="0" fontId="33" fillId="0" borderId="4" xfId="0" applyFont="1" applyBorder="1" applyAlignment="1">
      <alignment horizontal="center" vertical="center" wrapText="1"/>
    </xf>
    <xf numFmtId="0" fontId="23" fillId="0" borderId="4" xfId="0" applyFont="1" applyBorder="1" applyAlignment="1">
      <alignment horizontal="right" vertical="center" wrapText="1"/>
    </xf>
    <xf numFmtId="0" fontId="23" fillId="0" borderId="4" xfId="0" applyFont="1" applyBorder="1" applyAlignment="1">
      <alignment horizontal="center" vertical="center" wrapText="1"/>
    </xf>
    <xf numFmtId="2" fontId="33" fillId="0" borderId="4" xfId="0" applyNumberFormat="1" applyFont="1" applyBorder="1" applyAlignment="1">
      <alignment horizontal="left" vertical="center" wrapText="1"/>
    </xf>
    <xf numFmtId="1" fontId="33" fillId="0" borderId="4" xfId="0" applyNumberFormat="1" applyFont="1" applyBorder="1" applyAlignment="1">
      <alignment horizontal="center" vertical="center" wrapText="1"/>
    </xf>
    <xf numFmtId="2" fontId="24" fillId="0" borderId="4" xfId="5" applyNumberFormat="1" applyFont="1" applyBorder="1" applyAlignment="1">
      <alignment vertical="center"/>
    </xf>
    <xf numFmtId="0" fontId="24" fillId="0" borderId="4" xfId="0" applyFont="1" applyBorder="1" applyAlignment="1">
      <alignment horizontal="right" vertical="center" wrapText="1"/>
    </xf>
    <xf numFmtId="0" fontId="24" fillId="0" borderId="4" xfId="0" applyFont="1" applyBorder="1" applyAlignment="1">
      <alignment horizontal="center" vertical="center" wrapText="1"/>
    </xf>
    <xf numFmtId="2" fontId="2" fillId="0" borderId="4" xfId="5" applyNumberFormat="1" applyBorder="1" applyAlignment="1">
      <alignment vertical="center"/>
    </xf>
    <xf numFmtId="0" fontId="0" fillId="0" borderId="4" xfId="0" applyBorder="1"/>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3" fillId="0" borderId="1" xfId="0" applyFont="1" applyBorder="1" applyAlignment="1">
      <alignment horizontal="center" vertical="center" wrapText="1"/>
    </xf>
    <xf numFmtId="2" fontId="2" fillId="0" borderId="4" xfId="0" applyNumberFormat="1" applyFont="1" applyBorder="1" applyAlignment="1">
      <alignment horizontal="center" vertical="center"/>
    </xf>
    <xf numFmtId="4" fontId="2" fillId="0" borderId="4" xfId="0" applyNumberFormat="1" applyFont="1" applyBorder="1" applyAlignment="1">
      <alignment horizontal="center" vertical="center"/>
    </xf>
    <xf numFmtId="0" fontId="0" fillId="0" borderId="0" xfId="0" applyAlignment="1">
      <alignment horizontal="center"/>
    </xf>
    <xf numFmtId="0" fontId="3" fillId="0" borderId="4" xfId="0" applyFont="1" applyBorder="1" applyAlignment="1">
      <alignment horizontal="center" vertical="center" wrapText="1"/>
    </xf>
    <xf numFmtId="0" fontId="2" fillId="0" borderId="4" xfId="0" applyFont="1" applyBorder="1" applyAlignment="1">
      <alignment vertical="center"/>
    </xf>
    <xf numFmtId="0" fontId="2" fillId="0" borderId="0" xfId="0" quotePrefix="1" applyFont="1" applyAlignment="1">
      <alignment vertical="center"/>
    </xf>
    <xf numFmtId="0" fontId="4" fillId="0" borderId="0" xfId="0" applyFont="1" applyAlignment="1">
      <alignment horizontal="center"/>
    </xf>
    <xf numFmtId="0" fontId="2" fillId="0" borderId="4" xfId="0" applyFont="1" applyBorder="1" applyAlignment="1">
      <alignment horizontal="right" vertical="center"/>
    </xf>
    <xf numFmtId="0" fontId="2" fillId="0" borderId="0" xfId="0" quotePrefix="1" applyFont="1"/>
    <xf numFmtId="0" fontId="2" fillId="0" borderId="8" xfId="0" applyFont="1" applyBorder="1" applyAlignment="1">
      <alignment horizontal="center" vertical="center"/>
    </xf>
    <xf numFmtId="0" fontId="3" fillId="0" borderId="43" xfId="0" applyFont="1" applyBorder="1" applyAlignment="1">
      <alignment horizontal="center" vertical="center"/>
    </xf>
    <xf numFmtId="0" fontId="4" fillId="0" borderId="51" xfId="0" applyFont="1" applyBorder="1" applyAlignment="1">
      <alignment vertical="center"/>
    </xf>
    <xf numFmtId="0" fontId="2" fillId="3" borderId="4" xfId="1" applyFont="1" applyFill="1" applyBorder="1" applyAlignment="1">
      <alignment horizontal="center" vertical="center"/>
    </xf>
    <xf numFmtId="2" fontId="23" fillId="0" borderId="12" xfId="0" applyNumberFormat="1" applyFont="1" applyBorder="1" applyAlignment="1">
      <alignment horizontal="center" vertical="center"/>
    </xf>
    <xf numFmtId="0" fontId="4" fillId="0" borderId="0" xfId="2" applyAlignment="1">
      <alignment horizontal="center"/>
    </xf>
    <xf numFmtId="0" fontId="30" fillId="9" borderId="13" xfId="0" applyFont="1" applyFill="1" applyBorder="1" applyAlignment="1" applyProtection="1">
      <alignment wrapText="1"/>
      <protection hidden="1"/>
    </xf>
    <xf numFmtId="43" fontId="34" fillId="0" borderId="4" xfId="7" applyFont="1" applyFill="1" applyBorder="1" applyAlignment="1">
      <alignment horizontal="center" vertical="center"/>
    </xf>
    <xf numFmtId="4" fontId="3" fillId="0" borderId="4" xfId="0" applyNumberFormat="1" applyFont="1" applyBorder="1" applyAlignment="1">
      <alignment horizontal="right" vertical="center"/>
    </xf>
    <xf numFmtId="4" fontId="4" fillId="0" borderId="4" xfId="0" applyNumberFormat="1" applyFont="1" applyBorder="1" applyAlignment="1">
      <alignment horizontal="right" vertical="center"/>
    </xf>
    <xf numFmtId="4" fontId="2" fillId="0" borderId="4" xfId="0" applyNumberFormat="1" applyFont="1" applyBorder="1" applyAlignment="1">
      <alignment horizontal="right" vertical="center"/>
    </xf>
    <xf numFmtId="0" fontId="0" fillId="0" borderId="0" xfId="0" applyAlignment="1">
      <alignment horizontal="right"/>
    </xf>
    <xf numFmtId="0" fontId="6" fillId="0" borderId="59" xfId="0" applyFont="1" applyBorder="1" applyAlignment="1">
      <alignment horizontal="center" vertical="center"/>
    </xf>
    <xf numFmtId="43" fontId="6" fillId="0" borderId="4" xfId="7" applyFont="1" applyFill="1" applyBorder="1" applyAlignment="1">
      <alignment horizontal="left" vertical="center" wrapText="1"/>
    </xf>
    <xf numFmtId="4" fontId="4" fillId="0" borderId="2" xfId="0" applyNumberFormat="1" applyFont="1" applyBorder="1" applyAlignment="1">
      <alignment horizontal="right" vertical="center"/>
    </xf>
    <xf numFmtId="4" fontId="4" fillId="0" borderId="4" xfId="0" applyNumberFormat="1" applyFont="1" applyBorder="1" applyAlignment="1" applyProtection="1">
      <alignment horizontal="right" vertical="center"/>
      <protection locked="0"/>
    </xf>
    <xf numFmtId="4" fontId="4" fillId="0" borderId="4" xfId="0" applyNumberFormat="1" applyFont="1" applyBorder="1" applyAlignment="1">
      <alignment horizontal="right" vertical="center" wrapText="1"/>
    </xf>
    <xf numFmtId="4" fontId="2" fillId="0" borderId="18" xfId="0" applyNumberFormat="1" applyFont="1" applyBorder="1" applyAlignment="1">
      <alignment horizontal="right" vertical="center"/>
    </xf>
    <xf numFmtId="4" fontId="2" fillId="0" borderId="4" xfId="2" applyNumberFormat="1" applyFont="1" applyBorder="1" applyAlignment="1">
      <alignment vertical="center"/>
    </xf>
    <xf numFmtId="4" fontId="2" fillId="0" borderId="13" xfId="2" applyNumberFormat="1" applyFont="1" applyBorder="1" applyAlignment="1">
      <alignment vertical="center"/>
    </xf>
    <xf numFmtId="2" fontId="2" fillId="0" borderId="4" xfId="2" applyNumberFormat="1" applyFont="1" applyBorder="1" applyAlignment="1">
      <alignment horizontal="center" vertical="center"/>
    </xf>
    <xf numFmtId="2" fontId="2" fillId="0" borderId="4" xfId="2" applyNumberFormat="1" applyFont="1" applyBorder="1" applyAlignment="1">
      <alignment horizontal="center" vertical="center" wrapText="1"/>
    </xf>
    <xf numFmtId="0" fontId="3" fillId="0" borderId="15" xfId="0" applyFont="1" applyBorder="1" applyAlignment="1">
      <alignment horizontal="center" vertical="center"/>
    </xf>
    <xf numFmtId="4" fontId="4" fillId="0" borderId="0" xfId="0" applyNumberFormat="1" applyFont="1" applyAlignment="1">
      <alignment horizontal="center" vertical="center"/>
    </xf>
    <xf numFmtId="0" fontId="4" fillId="0" borderId="4" xfId="2" applyBorder="1" applyAlignment="1">
      <alignment horizontal="center" vertical="center"/>
    </xf>
    <xf numFmtId="4" fontId="4" fillId="0" borderId="4" xfId="2" applyNumberFormat="1" applyBorder="1" applyAlignment="1">
      <alignment vertical="center"/>
    </xf>
    <xf numFmtId="2" fontId="4" fillId="0" borderId="4" xfId="2" applyNumberFormat="1" applyBorder="1" applyAlignment="1">
      <alignment horizontal="center" vertical="center"/>
    </xf>
    <xf numFmtId="0" fontId="2" fillId="0" borderId="4" xfId="2" applyFont="1" applyBorder="1" applyAlignment="1">
      <alignment horizontal="center" vertical="center" wrapText="1"/>
    </xf>
    <xf numFmtId="4" fontId="2" fillId="0" borderId="4" xfId="2" applyNumberFormat="1" applyFont="1" applyBorder="1" applyAlignment="1">
      <alignment vertical="center" wrapText="1"/>
    </xf>
    <xf numFmtId="0" fontId="2" fillId="3" borderId="4" xfId="1" applyFont="1" applyFill="1" applyBorder="1" applyAlignment="1">
      <alignment horizontal="center" vertical="center" wrapText="1"/>
    </xf>
    <xf numFmtId="0" fontId="2" fillId="3" borderId="4" xfId="1" applyFont="1" applyFill="1" applyBorder="1" applyAlignment="1">
      <alignment vertical="center"/>
    </xf>
    <xf numFmtId="4" fontId="4" fillId="0" borderId="6" xfId="2" applyNumberFormat="1" applyBorder="1" applyAlignment="1">
      <alignment vertical="center"/>
    </xf>
    <xf numFmtId="43" fontId="6" fillId="0" borderId="4" xfId="7" applyFont="1" applyFill="1" applyBorder="1" applyAlignment="1">
      <alignment horizontal="right" vertical="center" wrapText="1"/>
    </xf>
    <xf numFmtId="0" fontId="2" fillId="0" borderId="4" xfId="5" applyBorder="1" applyAlignment="1">
      <alignment horizontal="center" vertical="center"/>
    </xf>
    <xf numFmtId="43" fontId="35" fillId="0" borderId="4" xfId="7" applyFont="1" applyFill="1" applyBorder="1" applyAlignment="1">
      <alignment horizontal="center" vertical="center"/>
    </xf>
    <xf numFmtId="43" fontId="13" fillId="0" borderId="4" xfId="7" applyFont="1" applyFill="1" applyBorder="1" applyAlignment="1">
      <alignment horizontal="center" vertical="center"/>
    </xf>
    <xf numFmtId="0" fontId="4" fillId="0" borderId="48" xfId="0" applyFont="1" applyBorder="1" applyAlignment="1">
      <alignment horizontal="center" vertical="center"/>
    </xf>
    <xf numFmtId="4" fontId="4" fillId="0" borderId="30" xfId="0" applyNumberFormat="1" applyFont="1" applyBorder="1" applyAlignment="1">
      <alignment horizontal="right" vertical="center"/>
    </xf>
    <xf numFmtId="4" fontId="4" fillId="0" borderId="6" xfId="2" applyNumberFormat="1" applyBorder="1" applyAlignment="1">
      <alignment horizontal="center" vertical="center"/>
    </xf>
    <xf numFmtId="4" fontId="3" fillId="0" borderId="4" xfId="0" applyNumberFormat="1" applyFont="1" applyBorder="1" applyAlignment="1">
      <alignment horizontal="center" vertical="center" wrapText="1"/>
    </xf>
    <xf numFmtId="4" fontId="3" fillId="0" borderId="16" xfId="0" applyNumberFormat="1" applyFont="1" applyBorder="1" applyAlignment="1">
      <alignment horizontal="right" vertical="center"/>
    </xf>
    <xf numFmtId="0" fontId="4" fillId="0" borderId="22" xfId="0" applyFont="1" applyBorder="1" applyAlignment="1">
      <alignment horizontal="center" vertical="center"/>
    </xf>
    <xf numFmtId="4" fontId="4" fillId="0" borderId="22" xfId="0" applyNumberFormat="1" applyFont="1" applyBorder="1" applyAlignment="1">
      <alignment horizontal="right" vertical="center"/>
    </xf>
    <xf numFmtId="0" fontId="4" fillId="0" borderId="33" xfId="0" applyFont="1" applyBorder="1"/>
    <xf numFmtId="4" fontId="4" fillId="0" borderId="22" xfId="0" applyNumberFormat="1" applyFont="1" applyBorder="1" applyAlignment="1">
      <alignment horizontal="center" vertical="center"/>
    </xf>
    <xf numFmtId="0" fontId="4" fillId="4" borderId="34" xfId="0" applyFont="1" applyFill="1" applyBorder="1" applyAlignment="1">
      <alignment vertical="center"/>
    </xf>
    <xf numFmtId="4" fontId="6" fillId="0" borderId="4" xfId="0" applyNumberFormat="1" applyFont="1" applyBorder="1" applyAlignment="1">
      <alignment horizontal="center" vertical="center"/>
    </xf>
    <xf numFmtId="4" fontId="6" fillId="0" borderId="16" xfId="0" applyNumberFormat="1" applyFont="1" applyBorder="1" applyAlignment="1">
      <alignment horizontal="center" vertical="center"/>
    </xf>
    <xf numFmtId="4" fontId="6" fillId="0" borderId="16" xfId="0" applyNumberFormat="1" applyFont="1" applyBorder="1" applyAlignment="1">
      <alignment horizontal="center" vertical="center" wrapText="1"/>
    </xf>
    <xf numFmtId="2" fontId="6" fillId="0" borderId="17" xfId="0" applyNumberFormat="1" applyFont="1" applyBorder="1" applyAlignment="1">
      <alignment horizontal="center" vertical="center" wrapText="1"/>
    </xf>
    <xf numFmtId="4" fontId="6" fillId="0" borderId="16" xfId="0" applyNumberFormat="1" applyFont="1" applyBorder="1" applyAlignment="1">
      <alignment horizontal="right" vertical="center"/>
    </xf>
    <xf numFmtId="0" fontId="4" fillId="4" borderId="34" xfId="0" applyFont="1" applyFill="1" applyBorder="1"/>
    <xf numFmtId="0" fontId="4" fillId="0" borderId="45" xfId="0" applyFont="1" applyBorder="1" applyAlignment="1">
      <alignment horizontal="center" vertical="center"/>
    </xf>
    <xf numFmtId="0" fontId="23" fillId="0" borderId="42" xfId="0" applyFont="1" applyBorder="1" applyAlignment="1">
      <alignment horizontal="center" vertical="center"/>
    </xf>
    <xf numFmtId="0" fontId="23" fillId="0" borderId="12" xfId="0" applyFont="1" applyBorder="1" applyAlignment="1">
      <alignment horizontal="center" vertical="center"/>
    </xf>
    <xf numFmtId="4" fontId="23" fillId="0" borderId="12" xfId="0" applyNumberFormat="1" applyFont="1" applyBorder="1" applyAlignment="1">
      <alignment vertical="center"/>
    </xf>
    <xf numFmtId="4" fontId="23" fillId="0" borderId="28" xfId="0" applyNumberFormat="1" applyFont="1" applyBorder="1" applyAlignment="1">
      <alignment vertical="center"/>
    </xf>
    <xf numFmtId="4" fontId="3" fillId="0" borderId="16" xfId="0" applyNumberFormat="1" applyFont="1" applyBorder="1" applyAlignment="1">
      <alignment vertical="center"/>
    </xf>
    <xf numFmtId="0" fontId="4" fillId="0" borderId="17" xfId="0" applyFont="1" applyBorder="1"/>
    <xf numFmtId="0" fontId="2" fillId="0" borderId="17" xfId="0" applyFont="1" applyBorder="1" applyAlignment="1">
      <alignment horizontal="center" vertical="center"/>
    </xf>
    <xf numFmtId="0" fontId="4" fillId="0" borderId="17" xfId="0" applyFont="1" applyBorder="1" applyAlignment="1">
      <alignment horizontal="center" vertical="center"/>
    </xf>
    <xf numFmtId="0" fontId="3" fillId="0" borderId="60" xfId="0" applyFont="1" applyBorder="1" applyAlignment="1">
      <alignment vertical="center" wrapText="1"/>
    </xf>
    <xf numFmtId="0" fontId="4" fillId="4" borderId="34" xfId="2" applyFill="1" applyBorder="1"/>
    <xf numFmtId="4" fontId="3" fillId="0" borderId="16" xfId="2" applyNumberFormat="1" applyFont="1" applyBorder="1" applyAlignment="1">
      <alignment vertical="center"/>
    </xf>
    <xf numFmtId="0" fontId="2" fillId="3" borderId="8" xfId="1" applyFont="1" applyFill="1" applyBorder="1" applyAlignment="1">
      <alignment horizontal="center" vertical="center" wrapText="1"/>
    </xf>
    <xf numFmtId="0" fontId="3" fillId="0" borderId="9" xfId="2" applyFont="1" applyBorder="1" applyAlignment="1">
      <alignment horizontal="center" vertical="center"/>
    </xf>
    <xf numFmtId="0" fontId="4" fillId="0" borderId="5" xfId="2" applyBorder="1"/>
    <xf numFmtId="0" fontId="6" fillId="0" borderId="15" xfId="2" applyFont="1" applyBorder="1" applyAlignment="1">
      <alignment horizontal="center" vertical="center"/>
    </xf>
    <xf numFmtId="0" fontId="6" fillId="0" borderId="16" xfId="2" applyFont="1" applyBorder="1" applyAlignment="1">
      <alignment horizontal="center" vertical="center"/>
    </xf>
    <xf numFmtId="4" fontId="6" fillId="0" borderId="16" xfId="2" applyNumberFormat="1" applyFont="1" applyBorder="1" applyAlignment="1">
      <alignment horizontal="center" vertical="center"/>
    </xf>
    <xf numFmtId="4" fontId="6" fillId="0" borderId="16" xfId="2" applyNumberFormat="1" applyFont="1" applyBorder="1" applyAlignment="1">
      <alignment vertical="center" wrapText="1"/>
    </xf>
    <xf numFmtId="4" fontId="6" fillId="0" borderId="16" xfId="2" applyNumberFormat="1" applyFont="1" applyBorder="1" applyAlignment="1">
      <alignment vertical="center"/>
    </xf>
    <xf numFmtId="2" fontId="2" fillId="0" borderId="13" xfId="2" applyNumberFormat="1" applyFont="1" applyBorder="1" applyAlignment="1">
      <alignment horizontal="center" vertical="center"/>
    </xf>
    <xf numFmtId="4" fontId="4" fillId="0" borderId="13" xfId="2" applyNumberFormat="1" applyBorder="1" applyAlignment="1">
      <alignment vertical="center"/>
    </xf>
    <xf numFmtId="0" fontId="4" fillId="0" borderId="17" xfId="2" applyBorder="1"/>
    <xf numFmtId="4" fontId="6" fillId="0" borderId="16" xfId="4" applyNumberFormat="1" applyFont="1" applyBorder="1" applyAlignment="1">
      <alignment horizontal="center" vertical="center" wrapText="1"/>
    </xf>
    <xf numFmtId="0" fontId="2" fillId="0" borderId="4" xfId="1" applyFont="1" applyFill="1" applyBorder="1" applyAlignment="1">
      <alignment horizontal="center" vertical="center"/>
    </xf>
    <xf numFmtId="4" fontId="2" fillId="0" borderId="4" xfId="0" applyNumberFormat="1" applyFont="1" applyBorder="1" applyAlignment="1">
      <alignment vertical="center"/>
    </xf>
    <xf numFmtId="43" fontId="13" fillId="0" borderId="4" xfId="7" applyFont="1" applyFill="1" applyBorder="1" applyAlignment="1">
      <alignment horizontal="right" vertical="center"/>
    </xf>
    <xf numFmtId="164" fontId="13" fillId="0" borderId="4" xfId="6" applyFont="1" applyFill="1" applyBorder="1"/>
    <xf numFmtId="164" fontId="6" fillId="0" borderId="4" xfId="6" applyFont="1" applyFill="1" applyBorder="1"/>
    <xf numFmtId="164" fontId="6" fillId="0" borderId="4" xfId="6" applyFont="1" applyFill="1" applyBorder="1" applyAlignment="1">
      <alignment horizontal="center"/>
    </xf>
    <xf numFmtId="168" fontId="2" fillId="0" borderId="4" xfId="5" applyNumberFormat="1" applyBorder="1" applyAlignment="1">
      <alignment vertical="center"/>
    </xf>
    <xf numFmtId="2" fontId="23" fillId="0" borderId="4" xfId="5" applyNumberFormat="1" applyFont="1" applyBorder="1" applyAlignment="1">
      <alignment vertical="center"/>
    </xf>
    <xf numFmtId="0" fontId="23" fillId="0" borderId="4" xfId="5" applyFont="1" applyBorder="1" applyAlignment="1">
      <alignment horizontal="center" vertical="center"/>
    </xf>
    <xf numFmtId="2" fontId="3" fillId="0" borderId="4" xfId="5" applyNumberFormat="1" applyFont="1" applyBorder="1" applyAlignment="1">
      <alignment vertical="center"/>
    </xf>
    <xf numFmtId="1" fontId="6" fillId="0" borderId="4" xfId="0" applyNumberFormat="1" applyFont="1" applyBorder="1" applyAlignment="1">
      <alignment horizontal="center" vertical="center" wrapText="1"/>
    </xf>
    <xf numFmtId="2" fontId="37" fillId="0" borderId="4" xfId="5" applyNumberFormat="1" applyFont="1" applyBorder="1" applyAlignment="1">
      <alignment vertical="center"/>
    </xf>
    <xf numFmtId="2" fontId="30" fillId="0" borderId="4" xfId="5" applyNumberFormat="1" applyFont="1" applyBorder="1" applyAlignment="1">
      <alignment vertical="center"/>
    </xf>
    <xf numFmtId="165" fontId="2" fillId="0" borderId="32" xfId="0" applyNumberFormat="1" applyFont="1" applyBorder="1" applyAlignment="1">
      <alignment horizontal="center" vertical="center"/>
    </xf>
    <xf numFmtId="0" fontId="3" fillId="0" borderId="1" xfId="0" applyFont="1" applyBorder="1" applyAlignment="1">
      <alignment horizontal="center" vertical="center"/>
    </xf>
    <xf numFmtId="0" fontId="2" fillId="0" borderId="9" xfId="0" applyFont="1" applyBorder="1" applyAlignment="1">
      <alignment horizontal="center" vertical="center"/>
    </xf>
    <xf numFmtId="4" fontId="2" fillId="0" borderId="4" xfId="0" applyNumberFormat="1" applyFont="1" applyBorder="1" applyAlignment="1">
      <alignment vertical="center" wrapText="1"/>
    </xf>
    <xf numFmtId="4" fontId="3" fillId="0" borderId="44" xfId="0" applyNumberFormat="1" applyFont="1" applyBorder="1" applyAlignment="1">
      <alignment horizontal="right" vertical="center"/>
    </xf>
    <xf numFmtId="164" fontId="32" fillId="0" borderId="4" xfId="6" applyFont="1" applyFill="1" applyBorder="1"/>
    <xf numFmtId="0" fontId="3" fillId="0" borderId="4" xfId="0" applyFont="1" applyBorder="1"/>
    <xf numFmtId="4" fontId="4" fillId="0" borderId="0" xfId="2" applyNumberFormat="1"/>
    <xf numFmtId="1" fontId="13" fillId="0" borderId="1" xfId="0" applyNumberFormat="1" applyFont="1" applyBorder="1" applyAlignment="1">
      <alignment horizontal="center" vertical="distributed" wrapText="1"/>
    </xf>
    <xf numFmtId="2" fontId="13" fillId="0" borderId="4" xfId="0" applyNumberFormat="1" applyFont="1" applyBorder="1" applyAlignment="1">
      <alignment horizontal="center" vertical="distributed" wrapText="1"/>
    </xf>
    <xf numFmtId="0" fontId="0" fillId="4" borderId="0" xfId="0" applyFill="1"/>
    <xf numFmtId="43" fontId="34" fillId="0" borderId="4" xfId="7" applyFont="1" applyFill="1" applyBorder="1" applyAlignment="1">
      <alignment horizontal="left" vertical="center" wrapText="1"/>
    </xf>
    <xf numFmtId="1" fontId="34" fillId="0" borderId="4" xfId="0" applyNumberFormat="1" applyFont="1" applyBorder="1" applyAlignment="1">
      <alignment horizontal="center" vertical="center" wrapText="1"/>
    </xf>
    <xf numFmtId="43" fontId="34" fillId="0" borderId="4" xfId="7" applyFont="1" applyFill="1" applyBorder="1" applyAlignment="1">
      <alignment horizontal="right" vertical="center" wrapText="1"/>
    </xf>
    <xf numFmtId="43" fontId="35" fillId="0" borderId="4" xfId="7" applyFont="1" applyFill="1" applyBorder="1" applyAlignment="1">
      <alignment horizontal="right" vertical="center"/>
    </xf>
    <xf numFmtId="164" fontId="35" fillId="0" borderId="4" xfId="6" applyFont="1" applyFill="1" applyBorder="1"/>
    <xf numFmtId="164" fontId="34" fillId="0" borderId="4" xfId="6" applyFont="1" applyFill="1" applyBorder="1"/>
    <xf numFmtId="164" fontId="34" fillId="0" borderId="4" xfId="6" applyFont="1" applyFill="1" applyBorder="1" applyAlignment="1">
      <alignment horizontal="center"/>
    </xf>
    <xf numFmtId="4" fontId="6" fillId="0" borderId="4" xfId="0" applyNumberFormat="1" applyFont="1" applyBorder="1" applyAlignment="1">
      <alignment horizontal="center" vertical="center" wrapText="1"/>
    </xf>
    <xf numFmtId="0" fontId="4" fillId="4" borderId="35" xfId="0" applyFont="1" applyFill="1" applyBorder="1" applyAlignment="1">
      <alignment vertical="center"/>
    </xf>
    <xf numFmtId="2" fontId="6" fillId="0" borderId="3" xfId="0" applyNumberFormat="1" applyFont="1" applyBorder="1" applyAlignment="1">
      <alignment horizontal="right" vertical="center" wrapText="1"/>
    </xf>
    <xf numFmtId="0" fontId="2" fillId="0" borderId="13" xfId="0" applyFont="1" applyBorder="1" applyAlignment="1">
      <alignment horizontal="center" vertical="center"/>
    </xf>
    <xf numFmtId="2" fontId="2" fillId="0" borderId="13" xfId="0" applyNumberFormat="1" applyFont="1" applyBorder="1" applyAlignment="1">
      <alignment horizontal="center" vertical="center"/>
    </xf>
    <xf numFmtId="4" fontId="6" fillId="0" borderId="77" xfId="0" applyNumberFormat="1" applyFont="1" applyBorder="1" applyAlignment="1">
      <alignment horizontal="center" vertical="center"/>
    </xf>
    <xf numFmtId="4" fontId="6" fillId="0" borderId="77" xfId="0" applyNumberFormat="1" applyFont="1" applyBorder="1" applyAlignment="1">
      <alignment horizontal="center" vertical="center" wrapText="1"/>
    </xf>
    <xf numFmtId="2" fontId="6" fillId="0" borderId="81" xfId="0" applyNumberFormat="1" applyFont="1" applyBorder="1" applyAlignment="1">
      <alignment horizontal="center" vertical="center" wrapText="1"/>
    </xf>
    <xf numFmtId="167" fontId="2" fillId="0" borderId="32" xfId="0" applyNumberFormat="1" applyFont="1" applyBorder="1" applyAlignment="1">
      <alignment horizontal="center" vertical="center"/>
    </xf>
    <xf numFmtId="4" fontId="4" fillId="0" borderId="32" xfId="0" applyNumberFormat="1" applyFont="1" applyBorder="1" applyAlignment="1">
      <alignment horizontal="center" vertical="center"/>
    </xf>
    <xf numFmtId="0" fontId="2" fillId="0" borderId="20" xfId="0" applyFont="1" applyBorder="1" applyAlignment="1" applyProtection="1">
      <alignment horizontal="centerContinuous"/>
      <protection locked="0"/>
    </xf>
    <xf numFmtId="0" fontId="2" fillId="0" borderId="0" xfId="0" applyFont="1" applyProtection="1">
      <protection locked="0"/>
    </xf>
    <xf numFmtId="0" fontId="2" fillId="0" borderId="12" xfId="0" applyFont="1" applyBorder="1" applyAlignment="1" applyProtection="1">
      <alignment horizontal="center"/>
      <protection locked="0"/>
    </xf>
    <xf numFmtId="0" fontId="2" fillId="0" borderId="20" xfId="0" applyFont="1" applyBorder="1" applyAlignment="1" applyProtection="1">
      <alignment horizontal="center"/>
      <protection locked="0"/>
    </xf>
    <xf numFmtId="0" fontId="2" fillId="0" borderId="35" xfId="0" applyFont="1" applyBorder="1" applyProtection="1">
      <protection locked="0"/>
    </xf>
    <xf numFmtId="2" fontId="0" fillId="0" borderId="0" xfId="0" applyNumberFormat="1"/>
    <xf numFmtId="43" fontId="0" fillId="0" borderId="0" xfId="0" applyNumberFormat="1"/>
    <xf numFmtId="2" fontId="13" fillId="0" borderId="41" xfId="0" applyNumberFormat="1" applyFont="1" applyBorder="1" applyAlignment="1">
      <alignment vertical="top" wrapText="1"/>
    </xf>
    <xf numFmtId="2" fontId="13" fillId="0" borderId="4" xfId="0" applyNumberFormat="1" applyFont="1" applyBorder="1" applyAlignment="1">
      <alignment vertical="top" wrapText="1"/>
    </xf>
    <xf numFmtId="2" fontId="6" fillId="0" borderId="4" xfId="0" applyNumberFormat="1" applyFont="1" applyBorder="1" applyAlignment="1">
      <alignment horizontal="center" vertical="center" wrapText="1"/>
    </xf>
    <xf numFmtId="0" fontId="33" fillId="0" borderId="4" xfId="0" applyFont="1" applyBorder="1" applyAlignment="1">
      <alignment horizontal="left" vertical="center" wrapText="1"/>
    </xf>
    <xf numFmtId="2" fontId="3" fillId="0" borderId="4" xfId="5" applyNumberFormat="1" applyFont="1" applyBorder="1" applyAlignment="1">
      <alignment horizontal="center" vertical="center"/>
    </xf>
    <xf numFmtId="1" fontId="2" fillId="0" borderId="4" xfId="0" applyNumberFormat="1" applyFont="1" applyBorder="1" applyAlignment="1">
      <alignment horizontal="center" vertical="center" wrapText="1"/>
    </xf>
    <xf numFmtId="2" fontId="2" fillId="0" borderId="4" xfId="0" applyNumberFormat="1" applyFont="1" applyBorder="1" applyAlignment="1">
      <alignment horizontal="left" vertical="center" wrapText="1"/>
    </xf>
    <xf numFmtId="0" fontId="2" fillId="0" borderId="4" xfId="0" applyFont="1" applyBorder="1" applyAlignment="1">
      <alignment horizontal="right" vertical="center" wrapText="1"/>
    </xf>
    <xf numFmtId="43" fontId="6" fillId="0" borderId="4" xfId="7" applyFont="1" applyFill="1" applyBorder="1" applyAlignment="1">
      <alignment horizontal="center" vertical="center"/>
    </xf>
    <xf numFmtId="0" fontId="24" fillId="0" borderId="4" xfId="0" applyFont="1" applyBorder="1" applyAlignment="1">
      <alignment horizontal="left" vertical="center" wrapText="1"/>
    </xf>
    <xf numFmtId="165" fontId="2" fillId="0" borderId="4" xfId="5" applyNumberFormat="1" applyBorder="1" applyAlignment="1">
      <alignment horizontal="center" vertical="center"/>
    </xf>
    <xf numFmtId="0" fontId="2" fillId="0" borderId="28" xfId="0" applyFont="1" applyBorder="1" applyAlignment="1">
      <alignment horizontal="left" vertical="center"/>
    </xf>
    <xf numFmtId="165" fontId="2" fillId="0" borderId="4" xfId="5" applyNumberFormat="1" applyBorder="1" applyAlignment="1">
      <alignment vertical="center"/>
    </xf>
    <xf numFmtId="0" fontId="0" fillId="0" borderId="4" xfId="0" applyBorder="1" applyAlignment="1">
      <alignment horizontal="center"/>
    </xf>
    <xf numFmtId="0" fontId="2" fillId="0" borderId="28" xfId="0" applyFont="1" applyBorder="1"/>
    <xf numFmtId="1" fontId="33" fillId="0" borderId="0" xfId="0" applyNumberFormat="1" applyFont="1" applyAlignment="1">
      <alignment horizontal="center" vertical="center" wrapText="1"/>
    </xf>
    <xf numFmtId="2" fontId="33" fillId="0" borderId="0" xfId="0" applyNumberFormat="1" applyFont="1" applyAlignment="1">
      <alignment horizontal="left" vertical="center" wrapText="1"/>
    </xf>
    <xf numFmtId="4" fontId="3" fillId="0" borderId="0" xfId="0" applyNumberFormat="1" applyFont="1" applyAlignment="1">
      <alignment horizontal="center" vertical="center" wrapText="1"/>
    </xf>
    <xf numFmtId="2" fontId="2" fillId="0" borderId="0" xfId="5" applyNumberFormat="1" applyAlignment="1">
      <alignment vertical="center"/>
    </xf>
    <xf numFmtId="4" fontId="2" fillId="0" borderId="0" xfId="0" applyNumberFormat="1" applyFont="1" applyAlignment="1">
      <alignment horizontal="center" vertical="center" wrapText="1"/>
    </xf>
    <xf numFmtId="0" fontId="2" fillId="0" borderId="0" xfId="5" applyAlignment="1">
      <alignment vertical="center"/>
    </xf>
    <xf numFmtId="0" fontId="2" fillId="0" borderId="0" xfId="5" applyAlignment="1">
      <alignment horizontal="center" vertical="center"/>
    </xf>
    <xf numFmtId="0" fontId="33" fillId="0" borderId="0" xfId="0" applyFont="1" applyAlignment="1">
      <alignment horizontal="center" vertical="center" wrapText="1"/>
    </xf>
    <xf numFmtId="0" fontId="33" fillId="0" borderId="0" xfId="0" applyFont="1" applyAlignment="1">
      <alignment horizontal="right" vertical="center" wrapText="1"/>
    </xf>
    <xf numFmtId="2" fontId="3" fillId="0" borderId="0" xfId="5" applyNumberFormat="1" applyFont="1" applyAlignment="1">
      <alignment vertical="center"/>
    </xf>
    <xf numFmtId="168" fontId="2" fillId="0" borderId="0" xfId="5" applyNumberFormat="1" applyAlignment="1">
      <alignment vertical="center"/>
    </xf>
    <xf numFmtId="43" fontId="34" fillId="0" borderId="0" xfId="7" applyFont="1" applyFill="1" applyBorder="1" applyAlignment="1">
      <alignment horizontal="center" vertical="center"/>
    </xf>
    <xf numFmtId="43" fontId="6" fillId="0" borderId="0" xfId="7" applyFont="1" applyFill="1" applyBorder="1" applyAlignment="1">
      <alignment horizontal="left" vertical="center" wrapText="1"/>
    </xf>
    <xf numFmtId="1" fontId="6" fillId="0" borderId="0" xfId="0" applyNumberFormat="1" applyFont="1" applyAlignment="1">
      <alignment horizontal="center" vertical="center" wrapText="1"/>
    </xf>
    <xf numFmtId="43" fontId="6" fillId="0" borderId="0" xfId="7" applyFont="1" applyFill="1" applyBorder="1" applyAlignment="1">
      <alignment horizontal="right" vertical="center" wrapText="1"/>
    </xf>
    <xf numFmtId="43" fontId="13" fillId="0" borderId="0" xfId="7" applyFont="1" applyFill="1" applyBorder="1" applyAlignment="1">
      <alignment horizontal="center" vertical="center"/>
    </xf>
    <xf numFmtId="43" fontId="13" fillId="0" borderId="0" xfId="7" applyFont="1" applyFill="1" applyBorder="1" applyAlignment="1">
      <alignment horizontal="right" vertical="center"/>
    </xf>
    <xf numFmtId="164" fontId="13" fillId="0" borderId="0" xfId="6" applyFont="1" applyFill="1" applyBorder="1"/>
    <xf numFmtId="164" fontId="6" fillId="0" borderId="0" xfId="6" applyFont="1" applyFill="1" applyBorder="1"/>
    <xf numFmtId="165" fontId="0" fillId="0" borderId="0" xfId="0" applyNumberFormat="1"/>
    <xf numFmtId="0" fontId="24" fillId="0" borderId="0" xfId="0" applyFont="1" applyAlignment="1">
      <alignment horizontal="center" vertical="center" wrapText="1"/>
    </xf>
    <xf numFmtId="0" fontId="24" fillId="0" borderId="0" xfId="0" applyFont="1" applyAlignment="1">
      <alignment horizontal="right" vertical="center" wrapText="1"/>
    </xf>
    <xf numFmtId="2" fontId="37" fillId="0" borderId="0" xfId="5" applyNumberFormat="1" applyFont="1" applyAlignment="1">
      <alignment vertical="center"/>
    </xf>
    <xf numFmtId="2" fontId="24" fillId="0" borderId="0" xfId="5" applyNumberFormat="1" applyFont="1" applyAlignment="1">
      <alignment vertical="center"/>
    </xf>
    <xf numFmtId="168" fontId="24" fillId="0" borderId="0" xfId="5" applyNumberFormat="1" applyFont="1" applyAlignment="1">
      <alignment vertical="center"/>
    </xf>
    <xf numFmtId="1" fontId="13" fillId="0" borderId="0" xfId="0" applyNumberFormat="1" applyFont="1" applyAlignment="1">
      <alignment horizontal="center" vertical="distributed" wrapText="1"/>
    </xf>
    <xf numFmtId="2" fontId="13" fillId="0" borderId="0" xfId="0" applyNumberFormat="1" applyFont="1" applyAlignment="1">
      <alignment horizontal="center" vertical="distributed" wrapText="1"/>
    </xf>
    <xf numFmtId="4" fontId="13" fillId="0" borderId="0" xfId="0" applyNumberFormat="1" applyFont="1" applyAlignment="1">
      <alignment horizontal="center" vertical="distributed" wrapText="1"/>
    </xf>
    <xf numFmtId="4" fontId="13" fillId="0" borderId="0" xfId="0" applyNumberFormat="1" applyFont="1" applyAlignment="1">
      <alignment horizontal="right" vertical="distributed" wrapText="1"/>
    </xf>
    <xf numFmtId="0" fontId="13" fillId="3" borderId="0" xfId="1" applyNumberFormat="1" applyFont="1" applyFill="1" applyBorder="1" applyAlignment="1">
      <alignment horizontal="center" vertical="distributed" wrapText="1"/>
    </xf>
    <xf numFmtId="0" fontId="39" fillId="0" borderId="13" xfId="0" applyFont="1" applyBorder="1" applyAlignment="1">
      <alignment horizontal="center" vertical="center"/>
    </xf>
    <xf numFmtId="4" fontId="39" fillId="0" borderId="13" xfId="0" applyNumberFormat="1" applyFont="1" applyBorder="1" applyAlignment="1">
      <alignment horizontal="right" vertical="center"/>
    </xf>
    <xf numFmtId="4" fontId="39" fillId="0" borderId="18" xfId="0" applyNumberFormat="1" applyFont="1" applyBorder="1" applyAlignment="1">
      <alignment horizontal="right" vertical="center"/>
    </xf>
    <xf numFmtId="2" fontId="39" fillId="0" borderId="4" xfId="0" applyNumberFormat="1" applyFont="1" applyBorder="1" applyAlignment="1">
      <alignment horizontal="center" vertical="center"/>
    </xf>
    <xf numFmtId="0" fontId="39" fillId="0" borderId="0" xfId="0" applyFont="1" applyAlignment="1">
      <alignment vertical="center"/>
    </xf>
    <xf numFmtId="0" fontId="39" fillId="0" borderId="7" xfId="0" applyFont="1" applyBorder="1" applyAlignment="1">
      <alignment vertical="center"/>
    </xf>
    <xf numFmtId="0" fontId="39" fillId="0" borderId="53" xfId="0" applyFont="1" applyBorder="1" applyAlignment="1">
      <alignment vertical="center"/>
    </xf>
    <xf numFmtId="0" fontId="39" fillId="0" borderId="20" xfId="0" applyFont="1" applyBorder="1" applyAlignment="1">
      <alignment vertical="center"/>
    </xf>
    <xf numFmtId="4" fontId="3" fillId="0" borderId="4" xfId="0" applyNumberFormat="1" applyFont="1" applyBorder="1" applyAlignment="1">
      <alignment vertical="center"/>
    </xf>
    <xf numFmtId="167" fontId="13" fillId="0" borderId="4" xfId="0" applyNumberFormat="1" applyFont="1" applyBorder="1" applyAlignment="1">
      <alignment horizontal="right" vertical="distributed" wrapText="1"/>
    </xf>
    <xf numFmtId="167" fontId="3" fillId="0" borderId="4" xfId="0" applyNumberFormat="1" applyFont="1" applyBorder="1" applyAlignment="1">
      <alignment horizontal="right" vertical="center"/>
    </xf>
    <xf numFmtId="0" fontId="3" fillId="0" borderId="4" xfId="0" applyFont="1" applyBorder="1" applyAlignment="1">
      <alignment horizontal="center" vertical="center"/>
    </xf>
    <xf numFmtId="0" fontId="4" fillId="0" borderId="0" xfId="2" applyAlignment="1" applyProtection="1">
      <alignment horizontal="center"/>
      <protection locked="0"/>
    </xf>
    <xf numFmtId="0" fontId="4" fillId="0" borderId="35" xfId="2" applyBorder="1" applyAlignment="1" applyProtection="1">
      <alignment horizontal="center"/>
      <protection locked="0"/>
    </xf>
    <xf numFmtId="165" fontId="13" fillId="0" borderId="14" xfId="2" applyNumberFormat="1" applyFont="1" applyBorder="1" applyAlignment="1" applyProtection="1">
      <alignment horizontal="left"/>
      <protection locked="0"/>
    </xf>
    <xf numFmtId="165" fontId="13" fillId="0" borderId="0" xfId="2" applyNumberFormat="1" applyFont="1" applyAlignment="1" applyProtection="1">
      <alignment horizontal="left"/>
      <protection locked="0"/>
    </xf>
    <xf numFmtId="0" fontId="36" fillId="0" borderId="4" xfId="0" applyFont="1" applyBorder="1" applyAlignment="1" applyProtection="1">
      <alignment horizontal="center" vertical="center" wrapText="1"/>
      <protection hidden="1"/>
    </xf>
    <xf numFmtId="2" fontId="3" fillId="0" borderId="4" xfId="0" applyNumberFormat="1" applyFont="1" applyBorder="1" applyAlignment="1">
      <alignment horizontal="center" vertical="center"/>
    </xf>
    <xf numFmtId="0" fontId="43" fillId="0" borderId="4" xfId="0" applyFont="1" applyBorder="1" applyAlignment="1">
      <alignment horizontal="center" vertical="center"/>
    </xf>
    <xf numFmtId="4" fontId="2" fillId="5" borderId="4" xfId="0" applyNumberFormat="1" applyFont="1" applyFill="1" applyBorder="1" applyAlignment="1">
      <alignment horizontal="center" vertical="center"/>
    </xf>
    <xf numFmtId="165" fontId="2" fillId="3" borderId="4" xfId="1" applyNumberFormat="1" applyFont="1" applyFill="1" applyBorder="1" applyAlignment="1">
      <alignment horizontal="center" vertical="center"/>
    </xf>
    <xf numFmtId="0" fontId="2" fillId="0" borderId="4" xfId="0" applyFont="1" applyBorder="1"/>
    <xf numFmtId="165" fontId="2" fillId="0" borderId="4" xfId="0" applyNumberFormat="1" applyFont="1" applyBorder="1" applyAlignment="1">
      <alignment horizontal="center" vertical="center"/>
    </xf>
    <xf numFmtId="0" fontId="0" fillId="11" borderId="4" xfId="0" applyFill="1" applyBorder="1" applyAlignment="1">
      <alignment horizontal="right"/>
    </xf>
    <xf numFmtId="169" fontId="2" fillId="0" borderId="4" xfId="0" applyNumberFormat="1" applyFont="1" applyBorder="1" applyAlignment="1">
      <alignment horizontal="center" vertical="center"/>
    </xf>
    <xf numFmtId="0" fontId="2" fillId="0" borderId="0" xfId="0" applyFont="1" applyAlignment="1">
      <alignment horizontal="right"/>
    </xf>
    <xf numFmtId="165" fontId="3" fillId="0" borderId="4" xfId="0" applyNumberFormat="1" applyFont="1" applyBorder="1" applyAlignment="1">
      <alignment horizontal="center" vertical="center"/>
    </xf>
    <xf numFmtId="165" fontId="3" fillId="3" borderId="4" xfId="1" applyNumberFormat="1" applyFont="1" applyFill="1" applyBorder="1" applyAlignment="1">
      <alignment horizontal="center" vertical="center"/>
    </xf>
    <xf numFmtId="0" fontId="3" fillId="0" borderId="4" xfId="0" applyFont="1" applyBorder="1" applyAlignment="1">
      <alignment vertical="center"/>
    </xf>
    <xf numFmtId="0" fontId="2" fillId="0" borderId="0" xfId="0" applyFont="1" applyAlignment="1">
      <alignment horizontal="center"/>
    </xf>
    <xf numFmtId="2" fontId="2" fillId="5" borderId="4" xfId="0" applyNumberFormat="1" applyFont="1" applyFill="1" applyBorder="1" applyAlignment="1">
      <alignment horizontal="center" vertical="center"/>
    </xf>
    <xf numFmtId="167" fontId="2" fillId="3" borderId="4" xfId="1" applyNumberFormat="1" applyFont="1" applyFill="1" applyBorder="1" applyAlignment="1">
      <alignment horizontal="center" vertical="center"/>
    </xf>
    <xf numFmtId="0" fontId="2" fillId="0" borderId="4" xfId="0" quotePrefix="1" applyFont="1" applyBorder="1" applyAlignment="1">
      <alignment horizontal="center"/>
    </xf>
    <xf numFmtId="165" fontId="2" fillId="0" borderId="0" xfId="0" applyNumberFormat="1" applyFont="1" applyAlignment="1">
      <alignment horizontal="right"/>
    </xf>
    <xf numFmtId="165" fontId="2" fillId="5" borderId="4" xfId="0" applyNumberFormat="1" applyFont="1" applyFill="1" applyBorder="1" applyAlignment="1">
      <alignment horizontal="center" vertical="center"/>
    </xf>
    <xf numFmtId="165" fontId="2" fillId="0" borderId="4" xfId="0" applyNumberFormat="1" applyFont="1" applyBorder="1" applyAlignment="1">
      <alignment horizontal="left" vertical="center"/>
    </xf>
    <xf numFmtId="0" fontId="2" fillId="0" borderId="4" xfId="0" quotePrefix="1" applyFont="1" applyBorder="1" applyAlignment="1">
      <alignment vertical="center"/>
    </xf>
    <xf numFmtId="2" fontId="2" fillId="0" borderId="4" xfId="0" applyNumberFormat="1" applyFont="1" applyBorder="1" applyAlignment="1">
      <alignment vertical="center" wrapText="1"/>
    </xf>
    <xf numFmtId="2" fontId="13" fillId="0" borderId="4" xfId="0" applyNumberFormat="1" applyFont="1" applyBorder="1" applyAlignment="1">
      <alignment vertical="center" wrapText="1"/>
    </xf>
    <xf numFmtId="0" fontId="2" fillId="0" borderId="0" xfId="0" quotePrefix="1" applyFont="1" applyAlignment="1">
      <alignment horizontal="right"/>
    </xf>
    <xf numFmtId="0" fontId="2" fillId="0" borderId="0" xfId="0" applyFont="1" applyAlignment="1">
      <alignment horizontal="right" vertical="center"/>
    </xf>
    <xf numFmtId="49" fontId="2" fillId="0" borderId="4" xfId="0" applyNumberFormat="1" applyFont="1" applyBorder="1" applyAlignment="1">
      <alignment vertical="center"/>
    </xf>
    <xf numFmtId="0" fontId="2" fillId="3" borderId="4" xfId="0" applyFont="1" applyFill="1" applyBorder="1" applyAlignment="1">
      <alignment horizontal="center" vertical="center"/>
    </xf>
    <xf numFmtId="165" fontId="44" fillId="0" borderId="0" xfId="0" applyNumberFormat="1" applyFont="1" applyAlignment="1">
      <alignment horizontal="right" vertical="center"/>
    </xf>
    <xf numFmtId="0" fontId="44" fillId="0" borderId="0" xfId="0" applyFont="1" applyAlignment="1">
      <alignment horizontal="right"/>
    </xf>
    <xf numFmtId="165" fontId="2" fillId="0" borderId="0" xfId="0" applyNumberFormat="1" applyFont="1"/>
    <xf numFmtId="165" fontId="2" fillId="0" borderId="4" xfId="1" applyNumberFormat="1" applyFont="1" applyFill="1" applyBorder="1" applyAlignment="1">
      <alignment horizontal="center" vertical="center"/>
    </xf>
    <xf numFmtId="165" fontId="3" fillId="3" borderId="4" xfId="1" quotePrefix="1" applyNumberFormat="1" applyFont="1" applyFill="1" applyBorder="1" applyAlignment="1">
      <alignment horizontal="center" vertical="center"/>
    </xf>
    <xf numFmtId="0" fontId="44" fillId="0" borderId="0" xfId="0" applyFont="1" applyAlignment="1">
      <alignment horizontal="left" vertical="center"/>
    </xf>
    <xf numFmtId="49" fontId="2" fillId="0" borderId="4" xfId="0" applyNumberFormat="1" applyFont="1" applyBorder="1" applyAlignment="1">
      <alignment horizontal="right" vertical="center"/>
    </xf>
    <xf numFmtId="0" fontId="31" fillId="0" borderId="4" xfId="0" applyFont="1" applyBorder="1" applyAlignment="1">
      <alignment horizontal="center" vertical="center"/>
    </xf>
    <xf numFmtId="165" fontId="2" fillId="0" borderId="0" xfId="0" quotePrefix="1" applyNumberFormat="1" applyFont="1" applyAlignment="1">
      <alignment horizontal="right"/>
    </xf>
    <xf numFmtId="165" fontId="2" fillId="0" borderId="0" xfId="0" applyNumberFormat="1" applyFont="1" applyAlignment="1">
      <alignment horizontal="right" vertical="center"/>
    </xf>
    <xf numFmtId="2" fontId="2" fillId="0" borderId="4" xfId="0" quotePrefix="1" applyNumberFormat="1" applyFont="1" applyBorder="1" applyAlignment="1">
      <alignment horizontal="center" vertical="center"/>
    </xf>
    <xf numFmtId="0" fontId="42" fillId="0" borderId="2" xfId="0" applyFont="1" applyBorder="1" applyAlignment="1" applyProtection="1">
      <alignment vertical="center" wrapText="1"/>
      <protection hidden="1"/>
    </xf>
    <xf numFmtId="0" fontId="42" fillId="0" borderId="3" xfId="0" applyFont="1" applyBorder="1" applyAlignment="1" applyProtection="1">
      <alignment vertical="center" wrapText="1"/>
      <protection hidden="1"/>
    </xf>
    <xf numFmtId="0" fontId="42" fillId="0" borderId="41" xfId="0" applyFont="1" applyBorder="1" applyAlignment="1" applyProtection="1">
      <alignment vertical="center" wrapText="1"/>
      <protection hidden="1"/>
    </xf>
    <xf numFmtId="0" fontId="2" fillId="0" borderId="2" xfId="0" applyFont="1" applyBorder="1" applyAlignment="1">
      <alignment vertical="center"/>
    </xf>
    <xf numFmtId="0" fontId="2" fillId="0" borderId="13" xfId="0" applyFont="1" applyBorder="1" applyAlignment="1">
      <alignment horizontal="right" vertical="center"/>
    </xf>
    <xf numFmtId="0" fontId="43" fillId="0" borderId="41" xfId="0" applyFont="1" applyBorder="1" applyAlignment="1">
      <alignment horizontal="center" vertical="center"/>
    </xf>
    <xf numFmtId="0" fontId="2" fillId="0" borderId="6" xfId="0" applyFont="1" applyBorder="1" applyAlignment="1">
      <alignment horizontal="right" vertical="center"/>
    </xf>
    <xf numFmtId="165" fontId="2" fillId="0" borderId="4" xfId="0" applyNumberFormat="1" applyFont="1" applyBorder="1" applyAlignment="1">
      <alignment vertical="center" wrapText="1"/>
    </xf>
    <xf numFmtId="0" fontId="3" fillId="0" borderId="4" xfId="0" quotePrefix="1" applyFont="1" applyBorder="1" applyAlignment="1">
      <alignment vertical="center"/>
    </xf>
    <xf numFmtId="2" fontId="2" fillId="0" borderId="4" xfId="0" applyNumberFormat="1" applyFont="1" applyBorder="1" applyAlignment="1">
      <alignment horizontal="left" vertical="center"/>
    </xf>
    <xf numFmtId="167" fontId="2" fillId="0" borderId="4" xfId="1" applyNumberFormat="1" applyFont="1" applyFill="1" applyBorder="1" applyAlignment="1">
      <alignment horizontal="center" vertical="center"/>
    </xf>
    <xf numFmtId="2" fontId="2" fillId="0" borderId="4" xfId="0" applyNumberFormat="1" applyFont="1" applyBorder="1" applyAlignment="1">
      <alignmen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35" xfId="0" applyFont="1" applyBorder="1" applyAlignment="1">
      <alignment horizontal="left" vertical="center"/>
    </xf>
    <xf numFmtId="0" fontId="3" fillId="0" borderId="0" xfId="0" applyFont="1" applyAlignment="1">
      <alignment wrapText="1"/>
    </xf>
    <xf numFmtId="0" fontId="3" fillId="0" borderId="0" xfId="2" applyFont="1"/>
    <xf numFmtId="0" fontId="5" fillId="0" borderId="56" xfId="2" applyFont="1" applyBorder="1" applyAlignment="1" applyProtection="1">
      <alignment horizontal="centerContinuous"/>
      <protection locked="0"/>
    </xf>
    <xf numFmtId="0" fontId="2" fillId="0" borderId="0" xfId="2" applyFont="1" applyProtection="1">
      <protection locked="0"/>
    </xf>
    <xf numFmtId="0" fontId="41" fillId="0" borderId="0" xfId="0" applyFont="1" applyProtection="1">
      <protection locked="0"/>
    </xf>
    <xf numFmtId="0" fontId="2" fillId="0" borderId="56" xfId="2" applyFont="1" applyBorder="1" applyProtection="1">
      <protection locked="0"/>
    </xf>
    <xf numFmtId="0" fontId="2" fillId="0" borderId="14" xfId="2" applyFont="1" applyBorder="1" applyProtection="1">
      <protection locked="0"/>
    </xf>
    <xf numFmtId="0" fontId="14" fillId="0" borderId="0" xfId="2" applyFont="1" applyAlignment="1" applyProtection="1">
      <alignment horizontal="center"/>
      <protection locked="0"/>
    </xf>
    <xf numFmtId="1" fontId="14" fillId="0" borderId="35" xfId="2" applyNumberFormat="1" applyFont="1" applyBorder="1" applyAlignment="1">
      <alignment horizontal="center"/>
    </xf>
    <xf numFmtId="0" fontId="2" fillId="0" borderId="14" xfId="2" applyFont="1" applyBorder="1" applyAlignment="1" applyProtection="1">
      <alignment horizontal="centerContinuous"/>
      <protection locked="0"/>
    </xf>
    <xf numFmtId="0" fontId="2" fillId="0" borderId="0" xfId="2" applyFont="1" applyAlignment="1" applyProtection="1">
      <alignment horizontal="centerContinuous"/>
      <protection locked="0"/>
    </xf>
    <xf numFmtId="0" fontId="14" fillId="0" borderId="14" xfId="2" applyFont="1" applyBorder="1" applyAlignment="1">
      <alignment horizontal="centerContinuous"/>
    </xf>
    <xf numFmtId="0" fontId="14" fillId="0" borderId="0" xfId="2" applyFont="1" applyAlignment="1" applyProtection="1">
      <alignment horizontal="centerContinuous"/>
      <protection locked="0"/>
    </xf>
    <xf numFmtId="0" fontId="14" fillId="0" borderId="35" xfId="2" applyFont="1" applyBorder="1" applyAlignment="1">
      <alignment horizontal="center"/>
    </xf>
    <xf numFmtId="165" fontId="2" fillId="0" borderId="0" xfId="2" applyNumberFormat="1" applyFont="1" applyAlignment="1" applyProtection="1">
      <alignment horizontal="center"/>
      <protection locked="0"/>
    </xf>
    <xf numFmtId="0" fontId="14" fillId="0" borderId="0" xfId="2" applyFont="1" applyAlignment="1">
      <alignment horizontal="center"/>
    </xf>
    <xf numFmtId="2" fontId="2" fillId="0" borderId="0" xfId="2" applyNumberFormat="1" applyFont="1" applyAlignment="1" applyProtection="1">
      <alignment horizontal="center"/>
      <protection locked="0"/>
    </xf>
    <xf numFmtId="2" fontId="2" fillId="0" borderId="0" xfId="2" applyNumberFormat="1" applyFont="1" applyAlignment="1">
      <alignment horizontal="center" wrapText="1"/>
    </xf>
    <xf numFmtId="0" fontId="14" fillId="0" borderId="14" xfId="2" applyFont="1" applyBorder="1" applyAlignment="1" applyProtection="1">
      <alignment horizontal="center"/>
      <protection locked="0"/>
    </xf>
    <xf numFmtId="1" fontId="14" fillId="0" borderId="0" xfId="2" applyNumberFormat="1" applyFont="1" applyAlignment="1">
      <alignment horizontal="center"/>
    </xf>
    <xf numFmtId="0" fontId="2" fillId="0" borderId="1" xfId="2" applyFont="1" applyBorder="1" applyProtection="1">
      <protection locked="0"/>
    </xf>
    <xf numFmtId="0" fontId="10" fillId="0" borderId="1" xfId="2" applyFont="1" applyBorder="1" applyAlignment="1" applyProtection="1">
      <alignment horizontal="center" vertical="center" wrapText="1"/>
      <protection locked="0"/>
    </xf>
    <xf numFmtId="0" fontId="11" fillId="0" borderId="0" xfId="2" applyFont="1" applyAlignment="1" applyProtection="1">
      <alignment horizontal="center" vertical="center" wrapText="1"/>
      <protection locked="0"/>
    </xf>
    <xf numFmtId="0" fontId="11" fillId="0" borderId="35" xfId="2" applyFont="1" applyBorder="1" applyAlignment="1" applyProtection="1">
      <alignment horizontal="center" vertical="center" wrapText="1"/>
      <protection locked="0"/>
    </xf>
    <xf numFmtId="0" fontId="11" fillId="0" borderId="1" xfId="2" applyFont="1" applyBorder="1" applyAlignment="1" applyProtection="1">
      <alignment horizontal="center" vertical="center" wrapText="1"/>
      <protection locked="0"/>
    </xf>
    <xf numFmtId="2" fontId="2" fillId="0" borderId="0" xfId="2" applyNumberFormat="1" applyFont="1" applyAlignment="1" applyProtection="1">
      <alignment horizontal="centerContinuous"/>
      <protection locked="0"/>
    </xf>
    <xf numFmtId="0" fontId="11" fillId="0" borderId="14" xfId="2" applyFont="1" applyBorder="1" applyProtection="1">
      <protection locked="0"/>
    </xf>
    <xf numFmtId="0" fontId="2" fillId="0" borderId="0" xfId="2" applyFont="1" applyAlignment="1" applyProtection="1">
      <alignment horizontal="center"/>
      <protection locked="0"/>
    </xf>
    <xf numFmtId="0" fontId="11" fillId="0" borderId="0" xfId="2" applyFont="1" applyProtection="1">
      <protection locked="0"/>
    </xf>
    <xf numFmtId="0" fontId="10" fillId="0" borderId="0" xfId="2" applyFont="1" applyProtection="1">
      <protection locked="0"/>
    </xf>
    <xf numFmtId="0" fontId="3" fillId="0" borderId="56" xfId="0" applyFont="1" applyBorder="1"/>
    <xf numFmtId="0" fontId="3" fillId="0" borderId="55" xfId="0" applyFont="1" applyBorder="1"/>
    <xf numFmtId="0" fontId="0" fillId="0" borderId="34" xfId="0" applyBorder="1"/>
    <xf numFmtId="0" fontId="0" fillId="0" borderId="35" xfId="0" applyBorder="1"/>
    <xf numFmtId="0" fontId="2" fillId="0" borderId="52" xfId="0" applyFont="1" applyBorder="1" applyAlignment="1" applyProtection="1">
      <alignment horizontal="centerContinuous"/>
      <protection locked="0"/>
    </xf>
    <xf numFmtId="0" fontId="36" fillId="0" borderId="4" xfId="0" applyFont="1" applyBorder="1" applyAlignment="1" applyProtection="1">
      <alignment horizontal="center" vertical="center"/>
      <protection hidden="1"/>
    </xf>
    <xf numFmtId="0" fontId="3" fillId="0" borderId="4" xfId="2" applyFont="1" applyBorder="1" applyAlignment="1">
      <alignment horizontal="center" vertical="center"/>
    </xf>
    <xf numFmtId="0" fontId="3" fillId="0" borderId="4" xfId="2" applyFont="1" applyBorder="1" applyAlignment="1">
      <alignment horizontal="left" vertical="center" wrapText="1"/>
    </xf>
    <xf numFmtId="4" fontId="2" fillId="0" borderId="4" xfId="2" applyNumberFormat="1" applyFont="1" applyBorder="1" applyAlignment="1">
      <alignment horizontal="center" vertical="center"/>
    </xf>
    <xf numFmtId="0" fontId="2" fillId="0" borderId="4" xfId="2" applyFont="1" applyBorder="1"/>
    <xf numFmtId="0" fontId="2" fillId="0" borderId="4" xfId="2" applyFont="1" applyBorder="1" applyAlignment="1">
      <alignment horizontal="right" vertical="center" wrapText="1"/>
    </xf>
    <xf numFmtId="165" fontId="2" fillId="5" borderId="4" xfId="2" applyNumberFormat="1" applyFont="1" applyFill="1" applyBorder="1" applyAlignment="1">
      <alignment horizontal="center" vertical="center"/>
    </xf>
    <xf numFmtId="165" fontId="2" fillId="0" borderId="4" xfId="2" applyNumberFormat="1" applyFont="1" applyBorder="1" applyAlignment="1">
      <alignment horizontal="center" vertical="center"/>
    </xf>
    <xf numFmtId="165" fontId="2" fillId="0" borderId="4" xfId="2" applyNumberFormat="1" applyFont="1" applyBorder="1" applyAlignment="1">
      <alignment horizontal="center"/>
    </xf>
    <xf numFmtId="0" fontId="2" fillId="0" borderId="4" xfId="2" applyFont="1" applyBorder="1" applyAlignment="1">
      <alignment horizontal="center"/>
    </xf>
    <xf numFmtId="165" fontId="2" fillId="5" borderId="4" xfId="2" applyNumberFormat="1" applyFont="1" applyFill="1" applyBorder="1" applyAlignment="1">
      <alignment horizontal="center"/>
    </xf>
    <xf numFmtId="0" fontId="2" fillId="0" borderId="6" xfId="2" applyFont="1" applyBorder="1" applyAlignment="1">
      <alignment horizontal="center" vertical="center" wrapText="1"/>
    </xf>
    <xf numFmtId="0" fontId="2" fillId="0" borderId="4" xfId="2" applyFont="1" applyBorder="1" applyAlignment="1">
      <alignment horizontal="left" vertical="center"/>
    </xf>
    <xf numFmtId="165" fontId="3" fillId="0" borderId="4" xfId="2" applyNumberFormat="1" applyFont="1" applyBorder="1" applyAlignment="1">
      <alignment horizontal="center" vertical="center"/>
    </xf>
    <xf numFmtId="0" fontId="2" fillId="0" borderId="4" xfId="2" applyFont="1" applyBorder="1" applyAlignment="1">
      <alignment vertical="center"/>
    </xf>
    <xf numFmtId="0" fontId="2" fillId="0" borderId="4" xfId="2" applyFont="1" applyBorder="1" applyAlignment="1">
      <alignment horizontal="right" vertical="center"/>
    </xf>
    <xf numFmtId="4" fontId="2" fillId="5" borderId="4" xfId="2" applyNumberFormat="1" applyFont="1" applyFill="1" applyBorder="1" applyAlignment="1">
      <alignment horizontal="center" vertical="center"/>
    </xf>
    <xf numFmtId="0" fontId="3" fillId="0" borderId="4" xfId="2" applyFont="1" applyBorder="1" applyAlignment="1">
      <alignment horizontal="left" vertical="center"/>
    </xf>
    <xf numFmtId="0" fontId="2" fillId="0" borderId="4" xfId="2" applyFont="1" applyBorder="1" applyAlignment="1">
      <alignment horizontal="left" vertical="center" wrapText="1"/>
    </xf>
    <xf numFmtId="2" fontId="3" fillId="0" borderId="4" xfId="2" applyNumberFormat="1" applyFont="1" applyBorder="1" applyAlignment="1">
      <alignment horizontal="center" vertical="center"/>
    </xf>
    <xf numFmtId="0" fontId="2" fillId="3" borderId="4" xfId="2" applyFont="1" applyFill="1" applyBorder="1" applyAlignment="1">
      <alignment horizontal="center" vertical="center"/>
    </xf>
    <xf numFmtId="0" fontId="2" fillId="3" borderId="4" xfId="2" applyFont="1" applyFill="1" applyBorder="1" applyAlignment="1">
      <alignment horizontal="left" vertical="center"/>
    </xf>
    <xf numFmtId="0" fontId="3" fillId="0" borderId="4" xfId="2" applyFont="1" applyBorder="1" applyAlignment="1">
      <alignment horizontal="center" vertical="center" wrapText="1"/>
    </xf>
    <xf numFmtId="2" fontId="3" fillId="0" borderId="4" xfId="2" applyNumberFormat="1" applyFont="1" applyBorder="1" applyAlignment="1">
      <alignment horizontal="center" vertical="center" wrapText="1"/>
    </xf>
    <xf numFmtId="0" fontId="2" fillId="0" borderId="4" xfId="2" applyFont="1" applyBorder="1" applyAlignment="1">
      <alignment wrapText="1"/>
    </xf>
    <xf numFmtId="0" fontId="2" fillId="0" borderId="4" xfId="2" applyFont="1" applyBorder="1" applyAlignment="1">
      <alignment vertical="center" wrapText="1"/>
    </xf>
    <xf numFmtId="165" fontId="13" fillId="0" borderId="4" xfId="2" applyNumberFormat="1" applyFont="1" applyBorder="1" applyAlignment="1">
      <alignment vertical="center" wrapText="1"/>
    </xf>
    <xf numFmtId="0" fontId="2" fillId="0" borderId="0" xfId="2" applyFont="1" applyAlignment="1">
      <alignment horizontal="center" vertical="center"/>
    </xf>
    <xf numFmtId="0" fontId="2" fillId="0" borderId="0" xfId="2" applyFont="1" applyAlignment="1">
      <alignment horizontal="center"/>
    </xf>
    <xf numFmtId="0" fontId="2" fillId="4" borderId="35" xfId="2" applyFont="1" applyFill="1" applyBorder="1"/>
    <xf numFmtId="0" fontId="2" fillId="0" borderId="0" xfId="2" applyFont="1" applyAlignment="1">
      <alignment vertical="center"/>
    </xf>
    <xf numFmtId="165" fontId="2" fillId="0" borderId="0" xfId="2" applyNumberFormat="1" applyFont="1" applyAlignment="1">
      <alignment horizontal="center" vertical="center"/>
    </xf>
    <xf numFmtId="4" fontId="2" fillId="0" borderId="0" xfId="2" applyNumberFormat="1" applyFont="1" applyAlignment="1">
      <alignment vertical="center"/>
    </xf>
    <xf numFmtId="165" fontId="2" fillId="0" borderId="0" xfId="2" applyNumberFormat="1" applyFont="1" applyAlignment="1">
      <alignment horizontal="center" vertical="center" wrapText="1"/>
    </xf>
    <xf numFmtId="4" fontId="2" fillId="0" borderId="0" xfId="2" applyNumberFormat="1" applyFont="1" applyAlignment="1">
      <alignment vertical="center" wrapText="1"/>
    </xf>
    <xf numFmtId="4" fontId="2" fillId="0" borderId="0" xfId="2" applyNumberFormat="1" applyFont="1"/>
    <xf numFmtId="0" fontId="2" fillId="0" borderId="4" xfId="0" applyFont="1" applyBorder="1" applyAlignment="1">
      <alignment vertical="top" wrapText="1"/>
    </xf>
    <xf numFmtId="49" fontId="2" fillId="0" borderId="0" xfId="0" applyNumberFormat="1" applyFont="1"/>
    <xf numFmtId="0" fontId="2" fillId="0" borderId="6" xfId="0" applyFont="1" applyBorder="1"/>
    <xf numFmtId="0" fontId="3" fillId="0" borderId="6" xfId="0" applyFont="1" applyBorder="1"/>
    <xf numFmtId="0" fontId="2" fillId="0" borderId="6" xfId="0" applyFont="1" applyBorder="1" applyAlignment="1">
      <alignment horizontal="center"/>
    </xf>
    <xf numFmtId="0" fontId="0" fillId="0" borderId="6" xfId="0" applyBorder="1"/>
    <xf numFmtId="0" fontId="36" fillId="9" borderId="32" xfId="0" applyFont="1" applyFill="1" applyBorder="1" applyAlignment="1" applyProtection="1">
      <alignment horizontal="center" vertical="center" wrapText="1"/>
      <protection hidden="1"/>
    </xf>
    <xf numFmtId="0" fontId="36" fillId="9" borderId="83" xfId="0" applyFont="1" applyFill="1" applyBorder="1" applyAlignment="1" applyProtection="1">
      <alignment horizontal="center" vertical="center" wrapText="1"/>
      <protection hidden="1"/>
    </xf>
    <xf numFmtId="0" fontId="36" fillId="9" borderId="31" xfId="0" applyFont="1" applyFill="1" applyBorder="1" applyAlignment="1" applyProtection="1">
      <alignment horizontal="center" vertical="center" wrapText="1"/>
      <protection hidden="1"/>
    </xf>
    <xf numFmtId="0" fontId="30" fillId="4" borderId="26" xfId="0" applyFont="1" applyFill="1" applyBorder="1" applyAlignment="1" applyProtection="1">
      <alignment horizontal="center" vertical="center" wrapText="1"/>
      <protection hidden="1"/>
    </xf>
    <xf numFmtId="4" fontId="4" fillId="0" borderId="4" xfId="0" applyNumberFormat="1" applyFont="1" applyBorder="1" applyAlignment="1">
      <alignment horizontal="center" vertical="center"/>
    </xf>
    <xf numFmtId="0" fontId="4" fillId="0" borderId="4" xfId="0" applyFont="1" applyBorder="1" applyAlignment="1">
      <alignment vertical="center" wrapText="1"/>
    </xf>
    <xf numFmtId="4" fontId="4" fillId="0" borderId="4" xfId="0" applyNumberFormat="1" applyFont="1" applyBorder="1" applyAlignment="1">
      <alignment horizontal="center" vertical="center" wrapText="1"/>
    </xf>
    <xf numFmtId="4" fontId="2" fillId="0" borderId="4" xfId="0" quotePrefix="1" applyNumberFormat="1" applyFont="1" applyBorder="1" applyAlignment="1">
      <alignment horizontal="center" vertical="center"/>
    </xf>
    <xf numFmtId="0" fontId="2" fillId="0" borderId="4" xfId="0" applyFont="1" applyBorder="1" applyAlignment="1">
      <alignment vertical="center" wrapText="1"/>
    </xf>
    <xf numFmtId="165" fontId="2" fillId="0" borderId="4" xfId="0" applyNumberFormat="1" applyFont="1" applyBorder="1" applyAlignment="1">
      <alignment horizontal="center"/>
    </xf>
    <xf numFmtId="0" fontId="3" fillId="12" borderId="4" xfId="0" applyFont="1" applyFill="1" applyBorder="1" applyAlignment="1">
      <alignment horizontal="center" vertical="center"/>
    </xf>
    <xf numFmtId="0" fontId="2" fillId="12" borderId="4" xfId="0" applyFont="1" applyFill="1" applyBorder="1" applyAlignment="1">
      <alignment horizontal="left" vertical="center"/>
    </xf>
    <xf numFmtId="2" fontId="3" fillId="12" borderId="4" xfId="0" applyNumberFormat="1" applyFont="1" applyFill="1" applyBorder="1" applyAlignment="1">
      <alignment horizontal="center" vertical="center"/>
    </xf>
    <xf numFmtId="4" fontId="2" fillId="12" borderId="4" xfId="0" applyNumberFormat="1" applyFont="1" applyFill="1" applyBorder="1" applyAlignment="1">
      <alignment horizontal="center" vertical="center"/>
    </xf>
    <xf numFmtId="0" fontId="2" fillId="12" borderId="4" xfId="1" applyFont="1" applyFill="1" applyBorder="1" applyAlignment="1">
      <alignment horizontal="center" vertical="center"/>
    </xf>
    <xf numFmtId="0" fontId="2" fillId="12" borderId="4" xfId="0" applyFont="1" applyFill="1" applyBorder="1" applyAlignment="1">
      <alignment vertical="center"/>
    </xf>
    <xf numFmtId="0" fontId="2" fillId="12" borderId="4" xfId="0" applyFont="1" applyFill="1" applyBorder="1" applyAlignment="1">
      <alignment horizontal="center" vertical="center"/>
    </xf>
    <xf numFmtId="0" fontId="2" fillId="12" borderId="4" xfId="0" applyFont="1" applyFill="1" applyBorder="1"/>
    <xf numFmtId="0" fontId="2" fillId="12" borderId="4" xfId="0" applyFont="1" applyFill="1" applyBorder="1" applyAlignment="1">
      <alignment horizontal="right" vertical="center" wrapText="1"/>
    </xf>
    <xf numFmtId="2" fontId="2" fillId="12" borderId="4" xfId="0" applyNumberFormat="1" applyFont="1" applyFill="1" applyBorder="1" applyAlignment="1">
      <alignment horizontal="center" vertical="center"/>
    </xf>
    <xf numFmtId="0" fontId="43" fillId="12" borderId="4" xfId="0" applyFont="1" applyFill="1" applyBorder="1" applyAlignment="1">
      <alignment horizontal="center" vertical="center"/>
    </xf>
    <xf numFmtId="0" fontId="2" fillId="12" borderId="4" xfId="0" applyFont="1" applyFill="1" applyBorder="1" applyAlignment="1">
      <alignment horizontal="right" vertical="center"/>
    </xf>
    <xf numFmtId="165" fontId="2" fillId="12" borderId="4" xfId="0" applyNumberFormat="1" applyFont="1" applyFill="1" applyBorder="1" applyAlignment="1">
      <alignment horizontal="center" vertical="center"/>
    </xf>
    <xf numFmtId="0" fontId="3" fillId="12" borderId="4" xfId="0" applyFont="1" applyFill="1" applyBorder="1"/>
    <xf numFmtId="0" fontId="3" fillId="12" borderId="4" xfId="0" applyFont="1" applyFill="1" applyBorder="1" applyAlignment="1">
      <alignment horizontal="left" vertical="center"/>
    </xf>
    <xf numFmtId="165" fontId="3" fillId="12" borderId="4" xfId="0" applyNumberFormat="1" applyFont="1" applyFill="1" applyBorder="1" applyAlignment="1">
      <alignment horizontal="center" vertical="center"/>
    </xf>
    <xf numFmtId="0" fontId="3" fillId="12" borderId="4" xfId="0" applyFont="1" applyFill="1" applyBorder="1" applyAlignment="1">
      <alignment vertical="center"/>
    </xf>
    <xf numFmtId="0" fontId="2" fillId="12" borderId="4" xfId="0" applyFont="1" applyFill="1" applyBorder="1" applyAlignment="1">
      <alignment horizontal="left" vertical="center" wrapText="1"/>
    </xf>
    <xf numFmtId="4" fontId="2" fillId="12" borderId="4" xfId="0" applyNumberFormat="1" applyFont="1" applyFill="1" applyBorder="1" applyAlignment="1">
      <alignment horizontal="center" vertical="center" wrapText="1"/>
    </xf>
    <xf numFmtId="4" fontId="2" fillId="0" borderId="0" xfId="0" applyNumberFormat="1" applyFont="1"/>
    <xf numFmtId="2" fontId="2" fillId="0" borderId="0" xfId="0" applyNumberFormat="1" applyFont="1"/>
    <xf numFmtId="49" fontId="42" fillId="5" borderId="4" xfId="0" applyNumberFormat="1" applyFont="1" applyFill="1" applyBorder="1" applyAlignment="1" applyProtection="1">
      <alignment horizontal="center" vertical="center" wrapText="1"/>
      <protection hidden="1"/>
    </xf>
    <xf numFmtId="0" fontId="2" fillId="0" borderId="4" xfId="0" applyFont="1" applyBorder="1" applyAlignment="1">
      <alignment horizontal="left" vertical="center" wrapText="1"/>
    </xf>
    <xf numFmtId="0" fontId="2" fillId="0" borderId="2" xfId="0" applyFont="1" applyBorder="1" applyAlignment="1">
      <alignment horizontal="center" vertical="center"/>
    </xf>
    <xf numFmtId="0" fontId="3" fillId="0" borderId="4" xfId="0" applyFont="1" applyBorder="1" applyAlignment="1">
      <alignment horizontal="right" vertical="center"/>
    </xf>
    <xf numFmtId="0" fontId="2" fillId="0" borderId="4" xfId="0" applyFont="1" applyBorder="1" applyAlignment="1">
      <alignment horizontal="left" vertical="center"/>
    </xf>
    <xf numFmtId="0" fontId="3" fillId="0" borderId="14" xfId="0" applyFont="1" applyBorder="1"/>
    <xf numFmtId="0" fontId="3" fillId="0" borderId="0" xfId="0" applyFont="1" applyAlignment="1" applyProtection="1">
      <alignment horizontal="center"/>
      <protection locked="0"/>
    </xf>
    <xf numFmtId="4" fontId="3" fillId="0" borderId="4" xfId="0" applyNumberFormat="1" applyFont="1" applyBorder="1" applyAlignment="1">
      <alignment horizontal="center" vertical="center"/>
    </xf>
    <xf numFmtId="0" fontId="39" fillId="0" borderId="0" xfId="0" applyFont="1" applyAlignment="1">
      <alignment horizontal="left" vertical="center"/>
    </xf>
    <xf numFmtId="0" fontId="31" fillId="12" borderId="4" xfId="0" applyFont="1" applyFill="1" applyBorder="1" applyAlignment="1">
      <alignment horizontal="center" vertical="center"/>
    </xf>
    <xf numFmtId="2" fontId="4" fillId="12" borderId="4" xfId="0" applyNumberFormat="1" applyFont="1" applyFill="1" applyBorder="1" applyAlignment="1">
      <alignment horizontal="center" vertical="center"/>
    </xf>
    <xf numFmtId="4" fontId="4" fillId="12" borderId="4" xfId="0" applyNumberFormat="1" applyFont="1" applyFill="1" applyBorder="1" applyAlignment="1">
      <alignment horizontal="right" vertical="center"/>
    </xf>
    <xf numFmtId="0" fontId="4" fillId="0" borderId="43" xfId="0" applyFont="1" applyBorder="1" applyAlignment="1">
      <alignment horizontal="center" vertical="center"/>
    </xf>
    <xf numFmtId="2" fontId="4" fillId="0" borderId="45" xfId="0" applyNumberFormat="1" applyFont="1" applyBorder="1" applyAlignment="1">
      <alignment horizontal="center" vertical="center"/>
    </xf>
    <xf numFmtId="4" fontId="4" fillId="0" borderId="45" xfId="0" applyNumberFormat="1" applyFont="1" applyBorder="1" applyAlignment="1">
      <alignment horizontal="right" vertical="center"/>
    </xf>
    <xf numFmtId="4" fontId="2" fillId="0" borderId="46" xfId="0" applyNumberFormat="1" applyFont="1" applyBorder="1" applyAlignment="1">
      <alignment horizontal="right" vertical="center"/>
    </xf>
    <xf numFmtId="0" fontId="2" fillId="0" borderId="47" xfId="1" applyFont="1" applyFill="1" applyBorder="1" applyAlignment="1">
      <alignment horizontal="center" vertical="center"/>
    </xf>
    <xf numFmtId="0" fontId="39" fillId="0" borderId="40" xfId="1" applyFont="1" applyFill="1" applyBorder="1" applyAlignment="1">
      <alignment horizontal="center"/>
    </xf>
    <xf numFmtId="0" fontId="39" fillId="0" borderId="44" xfId="0" applyFont="1" applyBorder="1" applyAlignment="1">
      <alignment horizontal="center" vertical="center"/>
    </xf>
    <xf numFmtId="2" fontId="39" fillId="0" borderId="44" xfId="0" applyNumberFormat="1" applyFont="1" applyBorder="1" applyAlignment="1">
      <alignment horizontal="center" vertical="center"/>
    </xf>
    <xf numFmtId="4" fontId="39" fillId="0" borderId="44" xfId="0" applyNumberFormat="1" applyFont="1" applyBorder="1" applyAlignment="1">
      <alignment horizontal="right" vertical="center" wrapText="1"/>
    </xf>
    <xf numFmtId="4" fontId="39" fillId="0" borderId="30" xfId="0" applyNumberFormat="1" applyFont="1" applyBorder="1" applyAlignment="1">
      <alignment horizontal="right" vertical="center"/>
    </xf>
    <xf numFmtId="0" fontId="39" fillId="0" borderId="37" xfId="1" applyFont="1" applyFill="1" applyBorder="1" applyAlignment="1">
      <alignment horizontal="center" vertical="center"/>
    </xf>
    <xf numFmtId="4" fontId="2" fillId="0" borderId="13" xfId="0" applyNumberFormat="1" applyFont="1" applyBorder="1" applyAlignment="1">
      <alignment horizontal="center" vertical="center"/>
    </xf>
    <xf numFmtId="0" fontId="2" fillId="0" borderId="0" xfId="0" applyFont="1" applyAlignment="1">
      <alignment horizontal="center" vertical="center"/>
    </xf>
    <xf numFmtId="165" fontId="4" fillId="0" borderId="4" xfId="0" applyNumberFormat="1" applyFont="1" applyBorder="1" applyAlignment="1">
      <alignment horizontal="center" vertical="center"/>
    </xf>
    <xf numFmtId="167" fontId="4" fillId="0" borderId="4" xfId="0" applyNumberFormat="1" applyFont="1" applyBorder="1" applyAlignment="1">
      <alignment horizontal="right" vertical="center"/>
    </xf>
    <xf numFmtId="0" fontId="4" fillId="0" borderId="8" xfId="1" applyFont="1" applyFill="1" applyBorder="1" applyAlignment="1">
      <alignment horizontal="center" vertical="center"/>
    </xf>
    <xf numFmtId="4" fontId="4" fillId="0" borderId="4" xfId="0" applyNumberFormat="1" applyFont="1" applyBorder="1" applyAlignment="1">
      <alignment vertical="center"/>
    </xf>
    <xf numFmtId="167" fontId="4" fillId="0" borderId="4" xfId="0" applyNumberFormat="1" applyFont="1" applyBorder="1" applyAlignment="1">
      <alignment vertical="center"/>
    </xf>
    <xf numFmtId="0" fontId="4" fillId="0" borderId="8" xfId="0" applyFont="1" applyBorder="1" applyAlignment="1">
      <alignment horizontal="center" vertical="center"/>
    </xf>
    <xf numFmtId="165" fontId="30" fillId="0" borderId="4" xfId="0" applyNumberFormat="1" applyFont="1" applyBorder="1" applyAlignment="1" applyProtection="1">
      <alignment horizontal="center" vertical="center" wrapText="1"/>
      <protection hidden="1"/>
    </xf>
    <xf numFmtId="0" fontId="13" fillId="3" borderId="8" xfId="1" applyNumberFormat="1" applyFont="1" applyFill="1" applyBorder="1" applyAlignment="1">
      <alignment horizontal="center" vertical="distributed" wrapText="1"/>
    </xf>
    <xf numFmtId="0" fontId="4" fillId="0" borderId="44" xfId="0" applyFont="1" applyBorder="1" applyAlignment="1">
      <alignment horizontal="center" vertical="center"/>
    </xf>
    <xf numFmtId="2" fontId="4" fillId="0" borderId="44" xfId="0" applyNumberFormat="1" applyFont="1" applyBorder="1" applyAlignment="1">
      <alignment horizontal="center" vertical="center"/>
    </xf>
    <xf numFmtId="4" fontId="4" fillId="0" borderId="44" xfId="0" applyNumberFormat="1" applyFont="1" applyBorder="1" applyAlignment="1">
      <alignment horizontal="right" vertical="center"/>
    </xf>
    <xf numFmtId="0" fontId="4" fillId="3" borderId="37" xfId="1" applyFont="1" applyFill="1" applyBorder="1" applyAlignment="1">
      <alignment horizontal="center" vertical="center"/>
    </xf>
    <xf numFmtId="0" fontId="3" fillId="0" borderId="4" xfId="0" applyFont="1" applyBorder="1" applyAlignment="1">
      <alignment horizontal="right" vertical="center" wrapText="1"/>
    </xf>
    <xf numFmtId="0" fontId="2" fillId="0" borderId="29" xfId="0" applyFont="1" applyBorder="1" applyAlignment="1">
      <alignment horizontal="center" vertical="center"/>
    </xf>
    <xf numFmtId="0" fontId="43" fillId="0" borderId="53" xfId="0" applyFont="1" applyBorder="1" applyAlignment="1">
      <alignment horizontal="center" vertical="center"/>
    </xf>
    <xf numFmtId="165" fontId="2" fillId="3" borderId="13" xfId="1" applyNumberFormat="1" applyFont="1" applyFill="1" applyBorder="1" applyAlignment="1">
      <alignment horizontal="center" vertical="center"/>
    </xf>
    <xf numFmtId="0" fontId="2" fillId="0" borderId="13" xfId="0" applyFont="1" applyBorder="1" applyAlignment="1">
      <alignment vertical="center"/>
    </xf>
    <xf numFmtId="0" fontId="0" fillId="0" borderId="4" xfId="0" applyBorder="1" applyAlignment="1">
      <alignment vertical="center"/>
    </xf>
    <xf numFmtId="0" fontId="3" fillId="0" borderId="13" xfId="0" applyFont="1" applyBorder="1" applyAlignment="1" applyProtection="1">
      <alignment horizontal="centerContinuous"/>
      <protection locked="0"/>
    </xf>
    <xf numFmtId="0" fontId="0" fillId="0" borderId="70" xfId="0" applyBorder="1" applyAlignment="1" applyProtection="1">
      <alignment horizontal="centerContinuous"/>
      <protection locked="0"/>
    </xf>
    <xf numFmtId="0" fontId="3" fillId="0" borderId="12" xfId="0" applyFont="1" applyBorder="1" applyAlignment="1" applyProtection="1">
      <alignment horizontal="centerContinuous"/>
      <protection locked="0"/>
    </xf>
    <xf numFmtId="0" fontId="3" fillId="0" borderId="18" xfId="0" applyFont="1" applyBorder="1" applyProtection="1">
      <protection locked="0"/>
    </xf>
    <xf numFmtId="0" fontId="0" fillId="0" borderId="39" xfId="0" applyBorder="1" applyProtection="1">
      <protection locked="0"/>
    </xf>
    <xf numFmtId="0" fontId="0" fillId="0" borderId="70" xfId="0" applyBorder="1" applyProtection="1">
      <protection locked="0"/>
    </xf>
    <xf numFmtId="0" fontId="2" fillId="0" borderId="4" xfId="0" quotePrefix="1" applyFont="1" applyBorder="1" applyAlignment="1">
      <alignment horizontal="left" vertical="center"/>
    </xf>
    <xf numFmtId="165" fontId="2" fillId="9" borderId="4" xfId="1" applyNumberFormat="1" applyFont="1" applyFill="1" applyBorder="1" applyAlignment="1">
      <alignment horizontal="center" vertical="center"/>
    </xf>
    <xf numFmtId="4" fontId="4" fillId="12" borderId="4" xfId="0" applyNumberFormat="1" applyFont="1" applyFill="1" applyBorder="1" applyAlignment="1" applyProtection="1">
      <alignment horizontal="right" vertical="center"/>
      <protection locked="0"/>
    </xf>
    <xf numFmtId="4" fontId="4" fillId="12" borderId="4" xfId="0" applyNumberFormat="1" applyFont="1" applyFill="1" applyBorder="1" applyAlignment="1" applyProtection="1">
      <alignment horizontal="right" vertical="center" wrapText="1"/>
      <protection locked="0"/>
    </xf>
    <xf numFmtId="0" fontId="4" fillId="0" borderId="8" xfId="0" applyFont="1" applyBorder="1" applyAlignment="1">
      <alignment vertical="center"/>
    </xf>
    <xf numFmtId="0" fontId="2" fillId="12" borderId="1" xfId="0" applyFont="1" applyFill="1" applyBorder="1" applyAlignment="1">
      <alignment horizontal="center" vertical="center"/>
    </xf>
    <xf numFmtId="0" fontId="4" fillId="12" borderId="8" xfId="1" applyFont="1" applyFill="1" applyBorder="1" applyAlignment="1">
      <alignment horizontal="center" vertical="center"/>
    </xf>
    <xf numFmtId="0" fontId="4" fillId="12" borderId="8" xfId="1" applyFont="1" applyFill="1" applyBorder="1" applyAlignment="1">
      <alignment horizontal="center"/>
    </xf>
    <xf numFmtId="0" fontId="4" fillId="0" borderId="37" xfId="0" applyFont="1" applyBorder="1" applyAlignment="1">
      <alignment horizontal="center" vertical="center"/>
    </xf>
    <xf numFmtId="0" fontId="3" fillId="3" borderId="8" xfId="1" applyFont="1" applyFill="1" applyBorder="1" applyAlignment="1">
      <alignment horizontal="center" vertical="center" wrapText="1"/>
    </xf>
    <xf numFmtId="0" fontId="2" fillId="9" borderId="4" xfId="0" applyFont="1" applyFill="1" applyBorder="1" applyAlignment="1">
      <alignment horizontal="center" vertical="center"/>
    </xf>
    <xf numFmtId="0" fontId="43" fillId="0" borderId="3" xfId="0" applyFont="1" applyBorder="1" applyAlignment="1">
      <alignment horizontal="center" vertical="center"/>
    </xf>
    <xf numFmtId="4" fontId="2" fillId="0" borderId="41" xfId="0" applyNumberFormat="1" applyFont="1" applyBorder="1" applyAlignment="1">
      <alignment horizontal="center" vertical="center"/>
    </xf>
    <xf numFmtId="2" fontId="2" fillId="0" borderId="6" xfId="0" applyNumberFormat="1" applyFont="1" applyBorder="1" applyAlignment="1">
      <alignment horizontal="center" vertical="center"/>
    </xf>
    <xf numFmtId="165" fontId="2" fillId="5" borderId="4" xfId="1" applyNumberFormat="1" applyFont="1" applyFill="1" applyBorder="1" applyAlignment="1">
      <alignment horizontal="center" vertical="center"/>
    </xf>
    <xf numFmtId="165" fontId="2" fillId="0" borderId="6" xfId="0" applyNumberFormat="1" applyFont="1" applyBorder="1" applyAlignment="1">
      <alignment horizontal="center" vertical="center"/>
    </xf>
    <xf numFmtId="165" fontId="2" fillId="0" borderId="0" xfId="0" applyNumberFormat="1" applyFont="1" applyAlignment="1">
      <alignment vertical="center"/>
    </xf>
    <xf numFmtId="0" fontId="13" fillId="0" borderId="4" xfId="0" applyFont="1" applyBorder="1" applyAlignment="1">
      <alignment horizontal="left" vertical="center"/>
    </xf>
    <xf numFmtId="165" fontId="2" fillId="0" borderId="0" xfId="0" applyNumberFormat="1" applyFont="1" applyAlignment="1">
      <alignment horizontal="center" vertical="center"/>
    </xf>
    <xf numFmtId="0" fontId="2" fillId="0" borderId="3" xfId="0" applyFont="1" applyBorder="1" applyAlignment="1">
      <alignment vertical="center"/>
    </xf>
    <xf numFmtId="167" fontId="2" fillId="0" borderId="4" xfId="0" applyNumberFormat="1" applyFont="1" applyBorder="1" applyAlignment="1">
      <alignment horizontal="center" vertical="center"/>
    </xf>
    <xf numFmtId="4" fontId="2" fillId="0" borderId="4" xfId="0" applyNumberFormat="1" applyFont="1" applyBorder="1" applyAlignment="1">
      <alignment horizontal="left" vertical="center"/>
    </xf>
    <xf numFmtId="4" fontId="2" fillId="5" borderId="26" xfId="0" applyNumberFormat="1" applyFont="1" applyFill="1" applyBorder="1" applyAlignment="1">
      <alignment horizontal="center" vertical="center"/>
    </xf>
    <xf numFmtId="2" fontId="2" fillId="0" borderId="26" xfId="0" applyNumberFormat="1" applyFont="1" applyBorder="1" applyAlignment="1">
      <alignment horizontal="center" vertical="center"/>
    </xf>
    <xf numFmtId="165" fontId="2" fillId="0" borderId="4" xfId="0" quotePrefix="1" applyNumberFormat="1" applyFont="1" applyBorder="1" applyAlignment="1">
      <alignment horizontal="center"/>
    </xf>
    <xf numFmtId="0" fontId="42" fillId="0" borderId="4" xfId="0" applyFont="1" applyBorder="1" applyAlignment="1" applyProtection="1">
      <alignment horizontal="center" vertical="center" wrapText="1"/>
      <protection hidden="1"/>
    </xf>
    <xf numFmtId="0" fontId="2" fillId="0" borderId="4" xfId="0" applyFont="1" applyBorder="1" applyAlignment="1">
      <alignment horizontal="center"/>
    </xf>
    <xf numFmtId="165" fontId="2" fillId="0" borderId="0" xfId="0" quotePrefix="1" applyNumberFormat="1" applyFont="1"/>
    <xf numFmtId="49" fontId="42" fillId="0" borderId="4" xfId="0" applyNumberFormat="1" applyFont="1" applyBorder="1" applyAlignment="1" applyProtection="1">
      <alignment horizontal="center" vertical="center" wrapText="1"/>
      <protection hidden="1"/>
    </xf>
    <xf numFmtId="49" fontId="42" fillId="0" borderId="4" xfId="0" applyNumberFormat="1" applyFont="1" applyBorder="1" applyAlignment="1" applyProtection="1">
      <alignment horizontal="left" vertical="center" wrapText="1"/>
      <protection hidden="1"/>
    </xf>
    <xf numFmtId="4" fontId="4" fillId="0" borderId="45" xfId="0" applyNumberFormat="1" applyFont="1" applyBorder="1" applyAlignment="1">
      <alignment horizontal="center" vertical="center"/>
    </xf>
    <xf numFmtId="0" fontId="4" fillId="0" borderId="47" xfId="0" applyFont="1" applyBorder="1" applyAlignment="1">
      <alignment vertical="center"/>
    </xf>
    <xf numFmtId="0" fontId="42" fillId="0" borderId="4" xfId="0" applyFont="1" applyBorder="1" applyAlignment="1" applyProtection="1">
      <alignment horizontal="left" vertical="center" wrapText="1"/>
      <protection hidden="1"/>
    </xf>
    <xf numFmtId="167" fontId="3" fillId="0" borderId="4" xfId="0" applyNumberFormat="1" applyFont="1" applyBorder="1" applyAlignment="1">
      <alignment horizontal="center" vertical="center"/>
    </xf>
    <xf numFmtId="165" fontId="3" fillId="0" borderId="4" xfId="0" applyNumberFormat="1" applyFont="1" applyBorder="1" applyAlignment="1">
      <alignment horizontal="center"/>
    </xf>
    <xf numFmtId="0" fontId="3" fillId="0" borderId="4" xfId="0" applyFont="1" applyBorder="1" applyAlignment="1">
      <alignment horizontal="left" vertical="center" wrapText="1"/>
    </xf>
    <xf numFmtId="0" fontId="3" fillId="0" borderId="8" xfId="0" applyFont="1" applyBorder="1" applyAlignment="1">
      <alignment horizontal="center" vertical="center" wrapText="1"/>
    </xf>
    <xf numFmtId="0" fontId="3" fillId="0" borderId="4" xfId="0" applyFont="1" applyBorder="1" applyAlignment="1">
      <alignment vertical="center" wrapText="1"/>
    </xf>
    <xf numFmtId="165" fontId="3" fillId="0" borderId="13" xfId="0" applyNumberFormat="1" applyFont="1" applyBorder="1" applyAlignment="1">
      <alignment horizontal="center" vertical="center"/>
    </xf>
    <xf numFmtId="0" fontId="3" fillId="0" borderId="4" xfId="0" applyFont="1" applyBorder="1" applyAlignment="1">
      <alignment horizontal="right"/>
    </xf>
    <xf numFmtId="4" fontId="2" fillId="0" borderId="0" xfId="0" applyNumberFormat="1" applyFont="1" applyAlignment="1">
      <alignment vertical="center" wrapText="1"/>
    </xf>
    <xf numFmtId="164" fontId="6" fillId="0" borderId="0" xfId="6" applyFont="1" applyFill="1" applyBorder="1" applyAlignment="1">
      <alignment horizontal="center"/>
    </xf>
    <xf numFmtId="0" fontId="3" fillId="0" borderId="4" xfId="2" applyFont="1" applyBorder="1" applyAlignment="1">
      <alignment horizontal="right" vertical="center"/>
    </xf>
    <xf numFmtId="43" fontId="13" fillId="0" borderId="4" xfId="7" applyFont="1" applyFill="1" applyBorder="1" applyAlignment="1">
      <alignment horizontal="left" vertical="center" wrapText="1"/>
    </xf>
    <xf numFmtId="167" fontId="6" fillId="0" borderId="4" xfId="7" applyNumberFormat="1" applyFont="1" applyFill="1" applyBorder="1" applyAlignment="1">
      <alignment horizontal="center" vertical="center" wrapText="1"/>
    </xf>
    <xf numFmtId="167" fontId="13" fillId="0" borderId="0" xfId="0" applyNumberFormat="1" applyFont="1" applyAlignment="1">
      <alignment horizontal="center" vertical="distributed" wrapText="1"/>
    </xf>
    <xf numFmtId="167" fontId="13" fillId="0" borderId="0" xfId="0" applyNumberFormat="1" applyFont="1" applyAlignment="1">
      <alignment horizontal="right" vertical="distributed" wrapText="1"/>
    </xf>
    <xf numFmtId="0" fontId="34" fillId="3" borderId="0" xfId="1" applyNumberFormat="1" applyFont="1" applyFill="1" applyBorder="1" applyAlignment="1">
      <alignment horizontal="center" vertical="distributed" wrapText="1"/>
    </xf>
    <xf numFmtId="0" fontId="39" fillId="0" borderId="0" xfId="2" applyFont="1"/>
    <xf numFmtId="0" fontId="39" fillId="0" borderId="0" xfId="2" applyFont="1" applyAlignment="1">
      <alignment vertical="center"/>
    </xf>
    <xf numFmtId="2" fontId="2" fillId="0" borderId="0" xfId="2" applyNumberFormat="1" applyFont="1" applyAlignment="1">
      <alignment horizontal="center" vertical="center"/>
    </xf>
    <xf numFmtId="171" fontId="48" fillId="0" borderId="4" xfId="9" applyFill="1" applyBorder="1" applyAlignment="1" applyProtection="1">
      <alignment horizontal="right" vertical="center" wrapText="1"/>
    </xf>
    <xf numFmtId="171" fontId="48" fillId="0" borderId="4" xfId="9" applyFill="1" applyBorder="1" applyAlignment="1" applyProtection="1">
      <alignment vertical="center"/>
    </xf>
    <xf numFmtId="165" fontId="4" fillId="0" borderId="0" xfId="2" applyNumberFormat="1" applyAlignment="1">
      <alignment horizontal="center" vertical="center"/>
    </xf>
    <xf numFmtId="2" fontId="2" fillId="0" borderId="4" xfId="2" applyNumberFormat="1" applyFont="1" applyBorder="1" applyAlignment="1">
      <alignment horizontal="right" vertical="center"/>
    </xf>
    <xf numFmtId="0" fontId="3" fillId="0" borderId="53" xfId="2" applyFont="1" applyBorder="1" applyAlignment="1">
      <alignment horizontal="center" vertical="center"/>
    </xf>
    <xf numFmtId="4" fontId="2" fillId="0" borderId="13" xfId="2" applyNumberFormat="1" applyFont="1" applyBorder="1" applyAlignment="1">
      <alignment horizontal="center" vertical="center"/>
    </xf>
    <xf numFmtId="0" fontId="2" fillId="3" borderId="13" xfId="2" applyFont="1" applyFill="1" applyBorder="1" applyAlignment="1">
      <alignment horizontal="center" vertical="center"/>
    </xf>
    <xf numFmtId="0" fontId="2" fillId="0" borderId="13" xfId="2" applyFont="1" applyBorder="1"/>
    <xf numFmtId="165" fontId="3" fillId="0" borderId="13" xfId="2" applyNumberFormat="1" applyFont="1" applyBorder="1" applyAlignment="1">
      <alignment horizontal="center" vertical="center"/>
    </xf>
    <xf numFmtId="0" fontId="3" fillId="0" borderId="41" xfId="2" applyFont="1" applyBorder="1" applyAlignment="1">
      <alignment horizontal="center" vertical="center"/>
    </xf>
    <xf numFmtId="0" fontId="37" fillId="0" borderId="4" xfId="0" applyFont="1" applyBorder="1" applyAlignment="1">
      <alignment horizontal="center" vertical="center"/>
    </xf>
    <xf numFmtId="2" fontId="34" fillId="0" borderId="4" xfId="0" applyNumberFormat="1" applyFont="1" applyBorder="1" applyAlignment="1">
      <alignment horizontal="center" vertical="center" wrapText="1"/>
    </xf>
    <xf numFmtId="4" fontId="24" fillId="0" borderId="4" xfId="0" applyNumberFormat="1" applyFont="1" applyBorder="1" applyAlignment="1">
      <alignment horizontal="center" vertical="center"/>
    </xf>
    <xf numFmtId="4" fontId="24" fillId="0" borderId="4" xfId="0" applyNumberFormat="1" applyFont="1" applyBorder="1" applyAlignment="1">
      <alignment horizontal="right" vertical="center"/>
    </xf>
    <xf numFmtId="2" fontId="35" fillId="0" borderId="4" xfId="0" applyNumberFormat="1" applyFont="1" applyBorder="1" applyAlignment="1">
      <alignment horizontal="center" vertical="distributed" wrapText="1"/>
    </xf>
    <xf numFmtId="4" fontId="35" fillId="0" borderId="4" xfId="0" applyNumberFormat="1" applyFont="1" applyBorder="1" applyAlignment="1">
      <alignment horizontal="right" vertical="distributed" wrapText="1"/>
    </xf>
    <xf numFmtId="4" fontId="37" fillId="0" borderId="4" xfId="0" applyNumberFormat="1" applyFont="1" applyBorder="1" applyAlignment="1">
      <alignment horizontal="right" vertical="center"/>
    </xf>
    <xf numFmtId="0" fontId="48" fillId="0" borderId="4" xfId="8" applyBorder="1" applyAlignment="1">
      <alignment horizontal="center" vertical="center" wrapText="1"/>
    </xf>
    <xf numFmtId="0" fontId="48" fillId="0" borderId="4" xfId="8" applyBorder="1" applyAlignment="1">
      <alignment horizontal="right" vertical="center" wrapText="1"/>
    </xf>
    <xf numFmtId="165" fontId="13" fillId="0" borderId="4" xfId="0" applyNumberFormat="1" applyFont="1" applyBorder="1" applyAlignment="1">
      <alignment vertical="top" wrapText="1"/>
    </xf>
    <xf numFmtId="165" fontId="2" fillId="0" borderId="4" xfId="0" applyNumberFormat="1" applyFont="1" applyBorder="1" applyAlignment="1">
      <alignment vertical="center"/>
    </xf>
    <xf numFmtId="165" fontId="2" fillId="0" borderId="4" xfId="2" applyNumberFormat="1" applyFont="1" applyBorder="1"/>
    <xf numFmtId="167" fontId="4" fillId="0" borderId="4" xfId="0" applyNumberFormat="1" applyFont="1" applyBorder="1" applyAlignment="1">
      <alignment horizontal="center" vertical="center"/>
    </xf>
    <xf numFmtId="0" fontId="3" fillId="0" borderId="37" xfId="0" applyFont="1" applyBorder="1" applyAlignment="1">
      <alignment horizontal="center" vertical="center"/>
    </xf>
    <xf numFmtId="167" fontId="35" fillId="0" borderId="4" xfId="0" applyNumberFormat="1" applyFont="1" applyBorder="1" applyAlignment="1">
      <alignment horizontal="right" vertical="distributed" wrapText="1"/>
    </xf>
    <xf numFmtId="165" fontId="24" fillId="0" borderId="4" xfId="0" applyNumberFormat="1" applyFont="1" applyBorder="1" applyAlignment="1">
      <alignment horizontal="right" vertical="center"/>
    </xf>
    <xf numFmtId="4" fontId="24" fillId="0" borderId="4" xfId="0" applyNumberFormat="1" applyFont="1" applyBorder="1" applyAlignment="1">
      <alignment horizontal="right" vertical="center" wrapText="1"/>
    </xf>
    <xf numFmtId="0" fontId="3" fillId="8" borderId="19" xfId="1" applyFont="1" applyFill="1" applyBorder="1" applyAlignment="1">
      <alignment horizontal="center" vertical="center" wrapText="1"/>
    </xf>
    <xf numFmtId="0" fontId="3" fillId="0" borderId="40" xfId="1" applyFont="1" applyFill="1" applyBorder="1" applyAlignment="1">
      <alignment horizontal="center" vertical="center" wrapText="1"/>
    </xf>
    <xf numFmtId="0" fontId="3" fillId="3" borderId="8" xfId="2" applyFont="1" applyFill="1" applyBorder="1" applyAlignment="1">
      <alignment horizontal="center" vertical="center"/>
    </xf>
    <xf numFmtId="4" fontId="24" fillId="0" borderId="13" xfId="0" applyNumberFormat="1" applyFont="1" applyBorder="1" applyAlignment="1">
      <alignment horizontal="right" vertical="center"/>
    </xf>
    <xf numFmtId="4" fontId="24" fillId="0" borderId="45" xfId="0" applyNumberFormat="1" applyFont="1" applyBorder="1" applyAlignment="1">
      <alignment horizontal="right" vertical="center"/>
    </xf>
    <xf numFmtId="167" fontId="24" fillId="0" borderId="4" xfId="0" applyNumberFormat="1" applyFont="1" applyBorder="1" applyAlignment="1">
      <alignment horizontal="right" vertical="center"/>
    </xf>
    <xf numFmtId="0" fontId="24" fillId="0" borderId="40" xfId="1" applyFont="1" applyFill="1" applyBorder="1" applyAlignment="1">
      <alignment horizontal="center" vertical="center"/>
    </xf>
    <xf numFmtId="0" fontId="24" fillId="3" borderId="8" xfId="1" applyFont="1" applyFill="1" applyBorder="1" applyAlignment="1">
      <alignment horizontal="center" vertical="center"/>
    </xf>
    <xf numFmtId="4" fontId="24" fillId="0" borderId="4" xfId="2" applyNumberFormat="1" applyFont="1" applyBorder="1" applyAlignment="1">
      <alignment vertical="center"/>
    </xf>
    <xf numFmtId="4" fontId="24" fillId="0" borderId="4" xfId="0" applyNumberFormat="1" applyFont="1" applyBorder="1" applyAlignment="1" applyProtection="1">
      <alignment horizontal="right" vertical="center"/>
      <protection locked="0"/>
    </xf>
    <xf numFmtId="4" fontId="24" fillId="0" borderId="4" xfId="0" applyNumberFormat="1" applyFont="1" applyBorder="1" applyAlignment="1" applyProtection="1">
      <alignment horizontal="right" vertical="center" wrapText="1"/>
      <protection locked="0"/>
    </xf>
    <xf numFmtId="0" fontId="3" fillId="3" borderId="8" xfId="1" applyFont="1" applyFill="1" applyBorder="1" applyAlignment="1">
      <alignment horizontal="center" vertical="center"/>
    </xf>
    <xf numFmtId="4" fontId="24" fillId="3" borderId="4" xfId="1" applyNumberFormat="1" applyFont="1" applyFill="1" applyBorder="1" applyAlignment="1">
      <alignment vertical="center"/>
    </xf>
    <xf numFmtId="165" fontId="2" fillId="3" borderId="4" xfId="2" applyNumberFormat="1" applyFont="1" applyFill="1" applyBorder="1" applyAlignment="1">
      <alignment horizontal="center" vertical="center"/>
    </xf>
    <xf numFmtId="4" fontId="24" fillId="0" borderId="13" xfId="2" applyNumberFormat="1" applyFont="1" applyBorder="1" applyAlignment="1">
      <alignment vertical="center"/>
    </xf>
    <xf numFmtId="4" fontId="24" fillId="0" borderId="4" xfId="2" applyNumberFormat="1" applyFont="1" applyBorder="1" applyAlignment="1">
      <alignment vertical="center" wrapText="1"/>
    </xf>
    <xf numFmtId="2" fontId="24" fillId="0" borderId="4" xfId="2" applyNumberFormat="1" applyFont="1" applyBorder="1" applyAlignment="1">
      <alignment horizontal="right" vertical="center"/>
    </xf>
    <xf numFmtId="0" fontId="2" fillId="0" borderId="0" xfId="1" applyFont="1" applyFill="1" applyBorder="1" applyAlignment="1">
      <alignment vertical="center"/>
    </xf>
    <xf numFmtId="0" fontId="24" fillId="0" borderId="8" xfId="0" applyFont="1" applyBorder="1" applyAlignment="1">
      <alignment horizontal="center" vertical="center" wrapText="1"/>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6" fillId="0" borderId="16" xfId="0" applyFont="1" applyBorder="1" applyAlignment="1">
      <alignment horizontal="center" vertical="center"/>
    </xf>
    <xf numFmtId="0" fontId="4" fillId="12" borderId="4" xfId="0" applyFont="1" applyFill="1" applyBorder="1" applyAlignment="1">
      <alignment horizontal="center" vertical="center"/>
    </xf>
    <xf numFmtId="0" fontId="6" fillId="0" borderId="77" xfId="0" applyFont="1" applyBorder="1" applyAlignment="1">
      <alignment horizontal="center" vertical="center"/>
    </xf>
    <xf numFmtId="0" fontId="3" fillId="0" borderId="8" xfId="0" applyFont="1" applyBorder="1" applyAlignment="1">
      <alignment horizontal="center" vertical="center"/>
    </xf>
    <xf numFmtId="0" fontId="24" fillId="0" borderId="8" xfId="1" applyFont="1" applyFill="1" applyBorder="1" applyAlignment="1">
      <alignment horizontal="center" vertical="center"/>
    </xf>
    <xf numFmtId="2" fontId="6" fillId="0" borderId="4" xfId="0" applyNumberFormat="1" applyFont="1" applyBorder="1" applyAlignment="1">
      <alignment horizontal="center" vertical="distributed" wrapText="1"/>
    </xf>
    <xf numFmtId="0" fontId="6" fillId="0" borderId="4" xfId="0" applyFont="1" applyBorder="1" applyAlignment="1">
      <alignment horizontal="center" vertical="center"/>
    </xf>
    <xf numFmtId="0" fontId="24" fillId="0" borderId="4" xfId="0" applyFont="1" applyBorder="1" applyAlignment="1">
      <alignment vertical="center"/>
    </xf>
    <xf numFmtId="0" fontId="39" fillId="0" borderId="12" xfId="0" applyFont="1" applyBorder="1" applyAlignment="1">
      <alignment horizontal="center" vertical="center"/>
    </xf>
    <xf numFmtId="2" fontId="39" fillId="0" borderId="6" xfId="0" applyNumberFormat="1" applyFont="1" applyBorder="1" applyAlignment="1">
      <alignment horizontal="center" vertical="center"/>
    </xf>
    <xf numFmtId="4" fontId="39" fillId="0" borderId="12" xfId="0" applyNumberFormat="1" applyFont="1" applyBorder="1" applyAlignment="1">
      <alignment horizontal="right" vertical="center"/>
    </xf>
    <xf numFmtId="0" fontId="40" fillId="0" borderId="19" xfId="1" applyFont="1" applyFill="1" applyBorder="1" applyAlignment="1">
      <alignment horizontal="center" vertical="center"/>
    </xf>
    <xf numFmtId="0" fontId="24" fillId="0" borderId="8" xfId="0" applyFont="1" applyBorder="1" applyAlignment="1">
      <alignment horizontal="center" vertical="center"/>
    </xf>
    <xf numFmtId="0" fontId="24" fillId="0" borderId="8" xfId="1" applyNumberFormat="1" applyFont="1" applyFill="1" applyBorder="1" applyAlignment="1">
      <alignment horizontal="center" vertical="distributed" wrapText="1"/>
    </xf>
    <xf numFmtId="0" fontId="13" fillId="0" borderId="8" xfId="1" applyNumberFormat="1" applyFont="1" applyFill="1" applyBorder="1" applyAlignment="1">
      <alignment horizontal="center" vertical="distributed" wrapText="1"/>
    </xf>
    <xf numFmtId="0" fontId="2" fillId="0" borderId="31" xfId="0" applyFont="1" applyBorder="1" applyAlignment="1">
      <alignment horizontal="center" vertical="center"/>
    </xf>
    <xf numFmtId="0" fontId="3" fillId="0" borderId="44" xfId="0" applyFont="1" applyBorder="1" applyAlignment="1">
      <alignment horizontal="center" vertical="center"/>
    </xf>
    <xf numFmtId="4" fontId="2" fillId="0" borderId="44" xfId="0" applyNumberFormat="1" applyFont="1" applyBorder="1" applyAlignment="1">
      <alignment horizontal="center" vertical="center"/>
    </xf>
    <xf numFmtId="4" fontId="24" fillId="0" borderId="44" xfId="0" applyNumberFormat="1" applyFont="1" applyBorder="1" applyAlignment="1">
      <alignment horizontal="right" vertical="center"/>
    </xf>
    <xf numFmtId="4" fontId="2" fillId="0" borderId="30" xfId="0" applyNumberFormat="1" applyFont="1" applyBorder="1" applyAlignment="1">
      <alignment horizontal="right" vertical="center"/>
    </xf>
    <xf numFmtId="0" fontId="2" fillId="0" borderId="37" xfId="0"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3" fillId="0" borderId="8" xfId="1" applyFont="1" applyFill="1" applyBorder="1" applyAlignment="1">
      <alignment horizontal="center" vertical="center"/>
    </xf>
    <xf numFmtId="1" fontId="2" fillId="0" borderId="1" xfId="0" applyNumberFormat="1" applyFont="1" applyBorder="1" applyAlignment="1">
      <alignment horizontal="center" vertical="center"/>
    </xf>
    <xf numFmtId="0" fontId="2" fillId="0" borderId="8" xfId="1" applyNumberFormat="1" applyFont="1" applyFill="1" applyBorder="1" applyAlignment="1">
      <alignment horizontal="center" vertical="center"/>
    </xf>
    <xf numFmtId="0" fontId="2" fillId="0" borderId="1" xfId="0" applyFont="1" applyBorder="1" applyAlignment="1">
      <alignment vertical="center"/>
    </xf>
    <xf numFmtId="1" fontId="3" fillId="0" borderId="1" xfId="0" applyNumberFormat="1" applyFont="1" applyBorder="1" applyAlignment="1">
      <alignment horizontal="center" vertical="center"/>
    </xf>
    <xf numFmtId="0" fontId="37" fillId="0" borderId="1" xfId="0" applyFont="1" applyBorder="1" applyAlignment="1">
      <alignment horizontal="center" vertical="center"/>
    </xf>
    <xf numFmtId="1" fontId="37" fillId="0" borderId="1" xfId="0" applyNumberFormat="1" applyFont="1" applyBorder="1" applyAlignment="1">
      <alignment horizontal="center" vertical="center"/>
    </xf>
    <xf numFmtId="0" fontId="35" fillId="0" borderId="8" xfId="1" applyNumberFormat="1" applyFont="1" applyFill="1" applyBorder="1" applyAlignment="1">
      <alignment horizontal="center" vertical="distributed" wrapText="1"/>
    </xf>
    <xf numFmtId="0" fontId="24" fillId="0" borderId="1" xfId="0" applyFont="1" applyBorder="1" applyAlignment="1">
      <alignment vertical="center"/>
    </xf>
    <xf numFmtId="0" fontId="4" fillId="0" borderId="1" xfId="0" applyFont="1" applyBorder="1" applyAlignment="1">
      <alignment vertical="center" wrapText="1"/>
    </xf>
    <xf numFmtId="0" fontId="4" fillId="0" borderId="8" xfId="0" applyFont="1" applyBorder="1" applyAlignment="1">
      <alignment horizontal="center" vertical="center" wrapText="1"/>
    </xf>
    <xf numFmtId="0" fontId="4" fillId="0" borderId="8" xfId="0" applyFont="1" applyBorder="1" applyAlignment="1">
      <alignment vertical="center" wrapText="1"/>
    </xf>
    <xf numFmtId="0" fontId="4" fillId="0" borderId="1" xfId="0" applyFont="1" applyBorder="1" applyAlignment="1">
      <alignment vertical="center"/>
    </xf>
    <xf numFmtId="0" fontId="22" fillId="0" borderId="8" xfId="1" applyFont="1" applyFill="1" applyBorder="1" applyAlignment="1">
      <alignment horizontal="center" vertical="center"/>
    </xf>
    <xf numFmtId="0" fontId="3" fillId="0" borderId="1" xfId="0" applyFont="1" applyBorder="1" applyAlignment="1">
      <alignment vertical="center"/>
    </xf>
    <xf numFmtId="0" fontId="4" fillId="0" borderId="48" xfId="0" applyFont="1" applyBorder="1" applyAlignment="1">
      <alignment vertical="center"/>
    </xf>
    <xf numFmtId="4" fontId="4" fillId="0" borderId="44" xfId="0" applyNumberFormat="1" applyFont="1" applyBorder="1" applyAlignment="1">
      <alignment horizontal="center" vertical="center"/>
    </xf>
    <xf numFmtId="0" fontId="6" fillId="0" borderId="4"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left" vertical="center" wrapText="1"/>
    </xf>
    <xf numFmtId="0" fontId="2" fillId="0" borderId="4" xfId="0" applyFont="1" applyBorder="1" applyAlignment="1">
      <alignment horizontal="left" vertical="center" wrapText="1"/>
    </xf>
    <xf numFmtId="0" fontId="3" fillId="0" borderId="4" xfId="0" applyFont="1" applyBorder="1" applyAlignment="1">
      <alignment horizontal="right" vertical="center"/>
    </xf>
    <xf numFmtId="0" fontId="4" fillId="0" borderId="4" xfId="0" applyFont="1" applyBorder="1" applyAlignment="1">
      <alignment horizontal="center" vertical="center"/>
    </xf>
    <xf numFmtId="0" fontId="4" fillId="0" borderId="4" xfId="0" applyFont="1" applyBorder="1" applyAlignment="1">
      <alignment horizontal="left" vertical="center" wrapText="1"/>
    </xf>
    <xf numFmtId="0" fontId="24" fillId="0" borderId="4" xfId="0" applyFont="1" applyBorder="1" applyAlignment="1">
      <alignment horizontal="left" vertical="center"/>
    </xf>
    <xf numFmtId="0" fontId="2" fillId="0" borderId="4" xfId="0" applyFont="1" applyBorder="1" applyAlignment="1">
      <alignment horizontal="center" vertical="center"/>
    </xf>
    <xf numFmtId="0" fontId="4" fillId="0" borderId="4" xfId="0" applyFont="1" applyBorder="1" applyAlignment="1">
      <alignment horizontal="center" vertical="center" wrapText="1"/>
    </xf>
    <xf numFmtId="0" fontId="2" fillId="0" borderId="4" xfId="0" applyFont="1" applyBorder="1" applyAlignment="1">
      <alignment horizontal="left" vertical="center"/>
    </xf>
    <xf numFmtId="0" fontId="4" fillId="0" borderId="4" xfId="0" applyFont="1" applyBorder="1" applyAlignment="1">
      <alignment horizontal="left" vertical="center"/>
    </xf>
    <xf numFmtId="0" fontId="2" fillId="0" borderId="2" xfId="0" applyFont="1" applyBorder="1" applyAlignment="1">
      <alignment horizontal="center" vertical="center" wrapText="1"/>
    </xf>
    <xf numFmtId="0" fontId="2" fillId="0" borderId="41" xfId="0" applyFont="1" applyBorder="1" applyAlignment="1">
      <alignment horizontal="center" vertical="center" wrapText="1"/>
    </xf>
    <xf numFmtId="2" fontId="6" fillId="0" borderId="43" xfId="0" applyNumberFormat="1" applyFont="1" applyBorder="1" applyAlignment="1">
      <alignment horizontal="center" vertical="center" wrapText="1"/>
    </xf>
    <xf numFmtId="2" fontId="6" fillId="0" borderId="45" xfId="0" applyNumberFormat="1" applyFont="1" applyBorder="1" applyAlignment="1">
      <alignment horizontal="center" vertical="center" wrapText="1"/>
    </xf>
    <xf numFmtId="2" fontId="6" fillId="0" borderId="47" xfId="0" applyNumberFormat="1" applyFont="1" applyBorder="1" applyAlignment="1">
      <alignment horizontal="center" vertical="center" wrapText="1"/>
    </xf>
    <xf numFmtId="1" fontId="2" fillId="0" borderId="4" xfId="0" applyNumberFormat="1" applyFont="1" applyBorder="1" applyAlignment="1">
      <alignment horizontal="left" vertical="center"/>
    </xf>
    <xf numFmtId="2" fontId="6" fillId="0" borderId="4" xfId="0" applyNumberFormat="1" applyFont="1" applyBorder="1" applyAlignment="1">
      <alignment horizontal="left" vertical="center" wrapText="1"/>
    </xf>
    <xf numFmtId="2" fontId="6" fillId="0" borderId="1" xfId="0" applyNumberFormat="1" applyFont="1" applyBorder="1" applyAlignment="1">
      <alignment horizontal="center" vertical="center" wrapText="1"/>
    </xf>
    <xf numFmtId="2" fontId="6" fillId="0" borderId="4" xfId="0" applyNumberFormat="1" applyFont="1" applyBorder="1" applyAlignment="1">
      <alignment horizontal="center" vertical="center" wrapText="1"/>
    </xf>
    <xf numFmtId="2" fontId="6" fillId="0" borderId="8" xfId="0" applyNumberFormat="1" applyFont="1" applyBorder="1" applyAlignment="1">
      <alignment horizontal="center" vertical="center" wrapText="1"/>
    </xf>
    <xf numFmtId="2" fontId="3" fillId="0" borderId="1" xfId="0" applyNumberFormat="1" applyFont="1" applyBorder="1" applyAlignment="1">
      <alignment horizontal="left" vertical="center" wrapText="1"/>
    </xf>
    <xf numFmtId="2" fontId="3" fillId="0" borderId="4" xfId="0" applyNumberFormat="1" applyFont="1" applyBorder="1" applyAlignment="1">
      <alignment horizontal="left" vertical="center" wrapText="1"/>
    </xf>
    <xf numFmtId="2" fontId="3" fillId="0" borderId="8" xfId="0" applyNumberFormat="1" applyFont="1" applyBorder="1" applyAlignment="1">
      <alignment horizontal="left" vertical="center" wrapText="1"/>
    </xf>
    <xf numFmtId="4" fontId="3" fillId="0" borderId="1"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4" fontId="3" fillId="0" borderId="8" xfId="0" applyNumberFormat="1" applyFont="1" applyBorder="1" applyAlignment="1">
      <alignment horizontal="center" vertical="center" wrapText="1"/>
    </xf>
    <xf numFmtId="2" fontId="6" fillId="11" borderId="4" xfId="0" applyNumberFormat="1" applyFont="1" applyFill="1" applyBorder="1" applyAlignment="1">
      <alignment horizontal="center" vertical="center" wrapText="1"/>
    </xf>
    <xf numFmtId="2" fontId="6" fillId="11" borderId="8" xfId="0" applyNumberFormat="1" applyFont="1" applyFill="1" applyBorder="1" applyAlignment="1">
      <alignment horizontal="center" vertical="center" wrapText="1"/>
    </xf>
    <xf numFmtId="2" fontId="6" fillId="0" borderId="4" xfId="0" applyNumberFormat="1" applyFont="1" applyBorder="1" applyAlignment="1">
      <alignment horizontal="right" vertical="center" wrapText="1"/>
    </xf>
    <xf numFmtId="165" fontId="35" fillId="0" borderId="4" xfId="0" applyNumberFormat="1" applyFont="1" applyBorder="1" applyAlignment="1">
      <alignment horizontal="left" vertical="top" wrapText="1"/>
    </xf>
    <xf numFmtId="0" fontId="3" fillId="0" borderId="4" xfId="0" applyFont="1" applyBorder="1" applyAlignment="1">
      <alignment horizontal="left" vertical="center"/>
    </xf>
    <xf numFmtId="0" fontId="3" fillId="0" borderId="4" xfId="0" applyFont="1" applyBorder="1" applyAlignment="1">
      <alignment vertical="center"/>
    </xf>
    <xf numFmtId="0" fontId="2" fillId="0" borderId="4" xfId="0" applyFont="1" applyBorder="1" applyAlignment="1">
      <alignment horizontal="left" wrapText="1"/>
    </xf>
    <xf numFmtId="0" fontId="3" fillId="0" borderId="4" xfId="0" applyFont="1" applyBorder="1" applyAlignment="1">
      <alignment horizontal="center" wrapText="1"/>
    </xf>
    <xf numFmtId="0" fontId="37" fillId="0" borderId="4" xfId="0" applyFont="1" applyBorder="1" applyAlignment="1">
      <alignment horizontal="left" vertical="center" wrapText="1"/>
    </xf>
    <xf numFmtId="0" fontId="24" fillId="0" borderId="4" xfId="0" applyFont="1" applyBorder="1" applyAlignment="1">
      <alignment vertical="center" wrapText="1"/>
    </xf>
    <xf numFmtId="0" fontId="24" fillId="0" borderId="4" xfId="0" applyFont="1" applyBorder="1" applyAlignment="1">
      <alignment vertical="center"/>
    </xf>
    <xf numFmtId="0" fontId="24" fillId="0" borderId="4" xfId="0" applyFont="1" applyBorder="1" applyAlignment="1">
      <alignment horizontal="left" vertical="center" wrapText="1"/>
    </xf>
    <xf numFmtId="0" fontId="37" fillId="0" borderId="4" xfId="0" applyFont="1" applyBorder="1" applyAlignment="1">
      <alignment horizontal="right" vertical="center"/>
    </xf>
    <xf numFmtId="0" fontId="2" fillId="0" borderId="4" xfId="0" applyFont="1" applyBorder="1" applyAlignment="1">
      <alignment vertical="center"/>
    </xf>
    <xf numFmtId="0" fontId="3" fillId="0" borderId="4" xfId="0" applyFont="1" applyBorder="1" applyAlignment="1">
      <alignment horizontal="right" vertical="center" wrapText="1"/>
    </xf>
    <xf numFmtId="0" fontId="4" fillId="0" borderId="4" xfId="0" applyFont="1" applyBorder="1" applyAlignment="1">
      <alignment horizontal="right" vertical="center"/>
    </xf>
    <xf numFmtId="0" fontId="4" fillId="0" borderId="44" xfId="0" applyFont="1" applyBorder="1" applyAlignment="1">
      <alignment horizontal="center" vertical="center"/>
    </xf>
    <xf numFmtId="17" fontId="67" fillId="6" borderId="56" xfId="0" applyNumberFormat="1" applyFont="1" applyFill="1" applyBorder="1" applyAlignment="1">
      <alignment horizontal="left" vertical="center"/>
    </xf>
    <xf numFmtId="0" fontId="67" fillId="6" borderId="55" xfId="0" applyFont="1" applyFill="1" applyBorder="1" applyAlignment="1">
      <alignment horizontal="left" vertical="center"/>
    </xf>
    <xf numFmtId="0" fontId="67" fillId="6" borderId="34" xfId="0" applyFont="1" applyFill="1" applyBorder="1" applyAlignment="1">
      <alignment horizontal="left" vertical="center"/>
    </xf>
    <xf numFmtId="0" fontId="67" fillId="6" borderId="24" xfId="0" applyFont="1" applyFill="1" applyBorder="1" applyAlignment="1">
      <alignment horizontal="left" vertical="center"/>
    </xf>
    <xf numFmtId="0" fontId="67" fillId="6" borderId="25" xfId="0" applyFont="1" applyFill="1" applyBorder="1" applyAlignment="1">
      <alignment horizontal="left" vertical="center"/>
    </xf>
    <xf numFmtId="0" fontId="67" fillId="6" borderId="36" xfId="0" applyFont="1" applyFill="1" applyBorder="1" applyAlignment="1">
      <alignment horizontal="left" vertical="center"/>
    </xf>
    <xf numFmtId="4" fontId="37" fillId="0" borderId="4" xfId="0" applyNumberFormat="1" applyFont="1" applyBorder="1" applyAlignment="1">
      <alignment horizontal="center" vertical="center"/>
    </xf>
    <xf numFmtId="4" fontId="37" fillId="0" borderId="8" xfId="0" applyNumberFormat="1" applyFont="1" applyBorder="1" applyAlignment="1">
      <alignment horizontal="center" vertical="center"/>
    </xf>
    <xf numFmtId="0" fontId="24" fillId="0" borderId="4" xfId="0" applyFont="1" applyBorder="1" applyAlignment="1">
      <alignment horizontal="center" vertical="center" wrapText="1"/>
    </xf>
    <xf numFmtId="0" fontId="3" fillId="0" borderId="4" xfId="0" applyFont="1" applyBorder="1" applyAlignment="1">
      <alignment horizontal="left" wrapText="1"/>
    </xf>
    <xf numFmtId="0" fontId="2" fillId="0" borderId="4" xfId="0" applyFont="1" applyBorder="1" applyAlignment="1">
      <alignment vertical="center" wrapText="1"/>
    </xf>
    <xf numFmtId="0" fontId="24" fillId="0" borderId="2" xfId="0" applyFont="1" applyBorder="1" applyAlignment="1">
      <alignment horizontal="left" vertical="center" wrapText="1"/>
    </xf>
    <xf numFmtId="0" fontId="24" fillId="0" borderId="41" xfId="0" applyFont="1" applyBorder="1" applyAlignment="1">
      <alignment horizontal="left" vertical="center" wrapText="1"/>
    </xf>
    <xf numFmtId="165" fontId="13" fillId="0" borderId="4" xfId="0" applyNumberFormat="1" applyFont="1" applyBorder="1" applyAlignment="1">
      <alignment horizontal="left" vertical="center" wrapText="1"/>
    </xf>
    <xf numFmtId="2" fontId="35" fillId="0" borderId="4" xfId="0" applyNumberFormat="1" applyFont="1" applyBorder="1" applyAlignment="1">
      <alignment horizontal="left" vertical="distributed"/>
    </xf>
    <xf numFmtId="165" fontId="13" fillId="0" borderId="4" xfId="0" applyNumberFormat="1" applyFont="1" applyBorder="1" applyAlignment="1">
      <alignment horizontal="left" vertical="top" wrapText="1"/>
    </xf>
    <xf numFmtId="0" fontId="2" fillId="0" borderId="28" xfId="0" applyFont="1" applyBorder="1" applyAlignment="1">
      <alignment horizontal="center" vertical="center"/>
    </xf>
    <xf numFmtId="0" fontId="2" fillId="0" borderId="0" xfId="0" applyFont="1" applyAlignment="1">
      <alignment horizontal="center" vertical="center"/>
    </xf>
    <xf numFmtId="0" fontId="2" fillId="0" borderId="28" xfId="0" applyFont="1" applyBorder="1" applyAlignment="1">
      <alignment horizontal="left" vertical="center"/>
    </xf>
    <xf numFmtId="0" fontId="0" fillId="0" borderId="0" xfId="0" applyAlignment="1">
      <alignment horizontal="left" vertical="center"/>
    </xf>
    <xf numFmtId="0" fontId="17" fillId="10" borderId="4" xfId="0" applyFont="1" applyFill="1" applyBorder="1" applyAlignment="1">
      <alignment horizontal="center" vertical="center"/>
    </xf>
    <xf numFmtId="0" fontId="30" fillId="9" borderId="13" xfId="0" applyFont="1" applyFill="1" applyBorder="1" applyAlignment="1" applyProtection="1">
      <alignment horizontal="center" wrapText="1"/>
      <protection hidden="1"/>
    </xf>
    <xf numFmtId="49" fontId="30" fillId="9" borderId="15" xfId="0" applyNumberFormat="1" applyFont="1" applyFill="1" applyBorder="1" applyAlignment="1" applyProtection="1">
      <alignment horizontal="center" vertical="center" wrapText="1"/>
      <protection hidden="1"/>
    </xf>
    <xf numFmtId="49" fontId="30" fillId="9" borderId="16" xfId="0" applyNumberFormat="1" applyFont="1" applyFill="1" applyBorder="1" applyAlignment="1" applyProtection="1">
      <alignment horizontal="center" vertical="center" wrapText="1"/>
      <protection hidden="1"/>
    </xf>
    <xf numFmtId="49" fontId="30" fillId="9" borderId="17" xfId="0" applyNumberFormat="1" applyFont="1" applyFill="1" applyBorder="1" applyAlignment="1" applyProtection="1">
      <alignment horizontal="center" vertical="center" wrapText="1"/>
      <protection hidden="1"/>
    </xf>
    <xf numFmtId="49" fontId="30" fillId="4" borderId="15" xfId="0" applyNumberFormat="1" applyFont="1" applyFill="1" applyBorder="1" applyAlignment="1" applyProtection="1">
      <alignment horizontal="left" vertical="center" wrapText="1"/>
      <protection hidden="1"/>
    </xf>
    <xf numFmtId="49" fontId="30" fillId="4" borderId="16" xfId="0" applyNumberFormat="1" applyFont="1" applyFill="1" applyBorder="1" applyAlignment="1" applyProtection="1">
      <alignment horizontal="left" vertical="center" wrapText="1"/>
      <protection hidden="1"/>
    </xf>
    <xf numFmtId="49" fontId="30" fillId="4" borderId="17" xfId="0" applyNumberFormat="1" applyFont="1" applyFill="1" applyBorder="1" applyAlignment="1" applyProtection="1">
      <alignment horizontal="left" vertical="center" wrapText="1"/>
      <protection hidden="1"/>
    </xf>
    <xf numFmtId="1" fontId="6" fillId="0" borderId="2" xfId="0" applyNumberFormat="1" applyFont="1" applyBorder="1" applyAlignment="1">
      <alignment horizontal="center" vertical="center" wrapText="1"/>
    </xf>
    <xf numFmtId="1" fontId="6" fillId="0" borderId="3" xfId="0" applyNumberFormat="1" applyFont="1" applyBorder="1" applyAlignment="1">
      <alignment horizontal="center" vertical="center" wrapText="1"/>
    </xf>
    <xf numFmtId="1" fontId="6" fillId="0" borderId="41" xfId="0" applyNumberFormat="1" applyFont="1" applyBorder="1" applyAlignment="1">
      <alignment horizontal="center" vertical="center" wrapText="1"/>
    </xf>
    <xf numFmtId="4" fontId="3" fillId="0" borderId="15" xfId="0" applyNumberFormat="1" applyFont="1" applyBorder="1" applyAlignment="1">
      <alignment horizontal="center" vertical="center"/>
    </xf>
    <xf numFmtId="4" fontId="3" fillId="0" borderId="16" xfId="0" applyNumberFormat="1" applyFont="1" applyBorder="1" applyAlignment="1">
      <alignment horizontal="center" vertical="center"/>
    </xf>
    <xf numFmtId="0" fontId="26" fillId="6" borderId="0" xfId="0" applyFont="1" applyFill="1" applyAlignment="1">
      <alignment vertical="center" wrapText="1"/>
    </xf>
    <xf numFmtId="0" fontId="5" fillId="6" borderId="0" xfId="0" applyFont="1" applyFill="1" applyAlignment="1">
      <alignment vertical="center" wrapText="1"/>
    </xf>
    <xf numFmtId="2" fontId="3" fillId="0" borderId="23" xfId="0" applyNumberFormat="1" applyFont="1" applyBorder="1" applyAlignment="1">
      <alignment horizontal="center" vertical="center" wrapText="1"/>
    </xf>
    <xf numFmtId="2" fontId="3" fillId="0" borderId="22" xfId="0" applyNumberFormat="1" applyFont="1" applyBorder="1" applyAlignment="1">
      <alignment horizontal="center" vertical="center" wrapText="1"/>
    </xf>
    <xf numFmtId="2" fontId="3" fillId="0" borderId="33" xfId="0" applyNumberFormat="1" applyFont="1" applyBorder="1" applyAlignment="1">
      <alignment horizontal="center" vertical="center" wrapText="1"/>
    </xf>
    <xf numFmtId="0" fontId="6" fillId="0" borderId="27" xfId="0" applyFont="1" applyBorder="1" applyAlignment="1">
      <alignment horizontal="center" vertical="center"/>
    </xf>
    <xf numFmtId="0" fontId="6" fillId="0" borderId="65" xfId="0" applyFont="1" applyBorder="1" applyAlignment="1">
      <alignment horizontal="center" vertical="center"/>
    </xf>
    <xf numFmtId="49" fontId="23" fillId="0" borderId="78" xfId="0" applyNumberFormat="1" applyFont="1" applyBorder="1" applyAlignment="1">
      <alignment horizontal="left" vertical="justify" wrapText="1"/>
    </xf>
    <xf numFmtId="49" fontId="23" fillId="0" borderId="58" xfId="0" applyNumberFormat="1" applyFont="1" applyBorder="1" applyAlignment="1">
      <alignment horizontal="left" vertical="justify" wrapText="1"/>
    </xf>
    <xf numFmtId="4" fontId="3" fillId="4" borderId="56" xfId="0" applyNumberFormat="1" applyFont="1" applyFill="1" applyBorder="1" applyAlignment="1">
      <alignment horizontal="left" vertical="center" wrapText="1"/>
    </xf>
    <xf numFmtId="4" fontId="3" fillId="4" borderId="55" xfId="0" applyNumberFormat="1" applyFont="1" applyFill="1" applyBorder="1" applyAlignment="1">
      <alignment horizontal="left" vertical="center" wrapText="1"/>
    </xf>
    <xf numFmtId="0" fontId="4" fillId="4" borderId="55" xfId="0" applyFont="1" applyFill="1" applyBorder="1" applyAlignment="1">
      <alignment horizontal="left" vertical="center" wrapText="1"/>
    </xf>
    <xf numFmtId="0" fontId="3" fillId="0" borderId="27" xfId="0" applyFont="1" applyBorder="1" applyAlignment="1">
      <alignment horizontal="left" vertical="center" wrapText="1"/>
    </xf>
    <xf numFmtId="0" fontId="3" fillId="0" borderId="22" xfId="0" applyFont="1" applyBorder="1" applyAlignment="1">
      <alignment horizontal="left" vertical="center" wrapText="1"/>
    </xf>
    <xf numFmtId="0" fontId="3" fillId="0" borderId="33" xfId="0" applyFont="1" applyBorder="1" applyAlignment="1">
      <alignment horizontal="left" vertical="center" wrapText="1"/>
    </xf>
    <xf numFmtId="2" fontId="6" fillId="0" borderId="23" xfId="0" applyNumberFormat="1" applyFont="1" applyBorder="1" applyAlignment="1">
      <alignment horizontal="center" vertical="center" wrapText="1"/>
    </xf>
    <xf numFmtId="2" fontId="6" fillId="0" borderId="22" xfId="0" applyNumberFormat="1" applyFont="1" applyBorder="1" applyAlignment="1">
      <alignment horizontal="center" vertical="center" wrapText="1"/>
    </xf>
    <xf numFmtId="2" fontId="6" fillId="0" borderId="33" xfId="0" applyNumberFormat="1" applyFont="1" applyBorder="1" applyAlignment="1">
      <alignment horizontal="center" vertical="center" wrapText="1"/>
    </xf>
    <xf numFmtId="2" fontId="6" fillId="0" borderId="14" xfId="0" applyNumberFormat="1" applyFont="1" applyBorder="1" applyAlignment="1">
      <alignment horizontal="center" vertical="center" wrapText="1"/>
    </xf>
    <xf numFmtId="2" fontId="6" fillId="0" borderId="0" xfId="0" applyNumberFormat="1" applyFont="1" applyAlignment="1">
      <alignment horizontal="center" vertical="center" wrapText="1"/>
    </xf>
    <xf numFmtId="2" fontId="6" fillId="0" borderId="35" xfId="0" applyNumberFormat="1" applyFont="1" applyBorder="1" applyAlignment="1">
      <alignment horizontal="center" vertical="center" wrapText="1"/>
    </xf>
    <xf numFmtId="2" fontId="6" fillId="0" borderId="1" xfId="0" applyNumberFormat="1" applyFont="1" applyBorder="1" applyAlignment="1">
      <alignment horizontal="left" vertical="center" wrapText="1"/>
    </xf>
    <xf numFmtId="49" fontId="6" fillId="11" borderId="4" xfId="0" applyNumberFormat="1" applyFont="1" applyFill="1" applyBorder="1" applyAlignment="1">
      <alignment horizontal="center" vertical="center" wrapText="1"/>
    </xf>
    <xf numFmtId="0" fontId="6" fillId="11" borderId="8" xfId="0" applyFont="1" applyFill="1" applyBorder="1" applyAlignment="1">
      <alignment horizontal="center" vertical="center" wrapText="1"/>
    </xf>
    <xf numFmtId="49" fontId="30" fillId="0" borderId="4" xfId="0" applyNumberFormat="1" applyFont="1" applyBorder="1" applyAlignment="1" applyProtection="1">
      <alignment horizontal="center" vertical="center" wrapText="1"/>
      <protection hidden="1"/>
    </xf>
    <xf numFmtId="4" fontId="3" fillId="0" borderId="4" xfId="4" applyNumberFormat="1" applyFont="1" applyBorder="1" applyAlignment="1">
      <alignment horizontal="left" vertical="center" wrapText="1"/>
    </xf>
    <xf numFmtId="2" fontId="13" fillId="0" borderId="0" xfId="0" applyNumberFormat="1" applyFont="1" applyAlignment="1">
      <alignment horizontal="left" vertical="top" wrapText="1"/>
    </xf>
    <xf numFmtId="0" fontId="47" fillId="0" borderId="4" xfId="2" applyFont="1" applyBorder="1" applyAlignment="1">
      <alignment horizontal="center" vertical="center"/>
    </xf>
    <xf numFmtId="0" fontId="38" fillId="0" borderId="28" xfId="0" applyFont="1" applyBorder="1" applyAlignment="1" applyProtection="1">
      <alignment horizontal="center" wrapText="1"/>
      <protection locked="0"/>
    </xf>
    <xf numFmtId="0" fontId="38" fillId="0" borderId="0" xfId="0" applyFont="1" applyAlignment="1">
      <alignment horizontal="center" wrapText="1"/>
    </xf>
    <xf numFmtId="0" fontId="38" fillId="0" borderId="28" xfId="0" applyFont="1" applyBorder="1" applyAlignment="1">
      <alignment horizontal="center" wrapText="1"/>
    </xf>
    <xf numFmtId="0" fontId="3" fillId="6" borderId="14" xfId="0" applyFont="1" applyFill="1" applyBorder="1"/>
    <xf numFmtId="0" fontId="3" fillId="6" borderId="0" xfId="0" applyFont="1" applyFill="1"/>
    <xf numFmtId="0" fontId="3" fillId="6" borderId="35" xfId="0" applyFont="1" applyFill="1" applyBorder="1"/>
    <xf numFmtId="0" fontId="3" fillId="6" borderId="14" xfId="0" applyFont="1" applyFill="1" applyBorder="1" applyAlignment="1">
      <alignment wrapText="1"/>
    </xf>
    <xf numFmtId="0" fontId="3" fillId="6" borderId="0" xfId="0" applyFont="1" applyFill="1" applyAlignment="1">
      <alignment wrapText="1"/>
    </xf>
    <xf numFmtId="0" fontId="3" fillId="6" borderId="35" xfId="0" applyFont="1" applyFill="1" applyBorder="1" applyAlignment="1">
      <alignment wrapText="1"/>
    </xf>
    <xf numFmtId="0" fontId="3" fillId="6" borderId="24" xfId="0" applyFont="1" applyFill="1" applyBorder="1" applyAlignment="1">
      <alignment vertical="center"/>
    </xf>
    <xf numFmtId="0" fontId="3" fillId="6" borderId="25" xfId="0" applyFont="1" applyFill="1" applyBorder="1" applyAlignment="1">
      <alignment vertical="center"/>
    </xf>
    <xf numFmtId="0" fontId="3" fillId="6" borderId="36" xfId="0" applyFont="1" applyFill="1" applyBorder="1" applyAlignment="1">
      <alignment vertical="center"/>
    </xf>
    <xf numFmtId="0" fontId="11" fillId="0" borderId="14"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0" fillId="0" borderId="0" xfId="0" applyAlignment="1">
      <alignment horizontal="center"/>
    </xf>
    <xf numFmtId="0" fontId="0" fillId="0" borderId="0" xfId="0" applyAlignment="1" applyProtection="1">
      <alignment horizontal="center"/>
      <protection locked="0"/>
    </xf>
    <xf numFmtId="0" fontId="16" fillId="0" borderId="23" xfId="0" applyFont="1" applyBorder="1" applyAlignment="1" applyProtection="1">
      <alignment horizontal="center" shrinkToFit="1"/>
      <protection locked="0"/>
    </xf>
    <xf numFmtId="0" fontId="0" fillId="0" borderId="22" xfId="0" applyBorder="1" applyAlignment="1">
      <alignment shrinkToFit="1"/>
    </xf>
    <xf numFmtId="0" fontId="0" fillId="0" borderId="33" xfId="0" applyBorder="1" applyAlignment="1">
      <alignment shrinkToFit="1"/>
    </xf>
    <xf numFmtId="0" fontId="0" fillId="0" borderId="56" xfId="0" applyBorder="1" applyAlignment="1" applyProtection="1">
      <alignment horizontal="left"/>
      <protection locked="0"/>
    </xf>
    <xf numFmtId="0" fontId="0" fillId="0" borderId="55" xfId="0" applyBorder="1" applyAlignment="1" applyProtection="1">
      <alignment horizontal="left"/>
      <protection locked="0"/>
    </xf>
    <xf numFmtId="0" fontId="0" fillId="0" borderId="34" xfId="0" applyBorder="1" applyAlignment="1" applyProtection="1">
      <alignment horizontal="left"/>
      <protection locked="0"/>
    </xf>
    <xf numFmtId="0" fontId="0" fillId="0" borderId="14" xfId="0" applyBorder="1" applyAlignment="1">
      <alignment horizontal="left" wrapText="1"/>
    </xf>
    <xf numFmtId="0" fontId="0" fillId="0" borderId="0" xfId="0" applyAlignment="1">
      <alignment horizontal="left" wrapText="1"/>
    </xf>
    <xf numFmtId="0" fontId="0" fillId="0" borderId="35" xfId="0" applyBorder="1" applyAlignment="1">
      <alignment horizontal="left" wrapText="1"/>
    </xf>
    <xf numFmtId="0" fontId="0" fillId="0" borderId="24" xfId="0" applyBorder="1" applyAlignment="1">
      <alignment horizontal="left" wrapText="1"/>
    </xf>
    <xf numFmtId="0" fontId="0" fillId="0" borderId="25" xfId="0" applyBorder="1" applyAlignment="1">
      <alignment horizontal="left" wrapText="1"/>
    </xf>
    <xf numFmtId="0" fontId="0" fillId="0" borderId="36" xfId="0" applyBorder="1" applyAlignment="1">
      <alignment horizontal="left" wrapText="1"/>
    </xf>
    <xf numFmtId="0" fontId="18" fillId="0" borderId="0" xfId="0" applyFont="1" applyAlignment="1" applyProtection="1">
      <alignment horizontal="center"/>
      <protection locked="0"/>
    </xf>
    <xf numFmtId="0" fontId="39" fillId="0" borderId="21" xfId="0" applyFont="1" applyBorder="1" applyAlignment="1">
      <alignment horizontal="left" vertical="center"/>
    </xf>
    <xf numFmtId="0" fontId="39" fillId="0" borderId="52" xfId="0" applyFont="1" applyBorder="1" applyAlignment="1">
      <alignment horizontal="left" vertical="center"/>
    </xf>
    <xf numFmtId="0" fontId="4" fillId="4" borderId="55" xfId="0" applyFont="1" applyFill="1" applyBorder="1" applyAlignment="1">
      <alignment horizontal="left" wrapText="1"/>
    </xf>
    <xf numFmtId="0" fontId="2" fillId="0" borderId="2" xfId="0" applyFont="1" applyBorder="1" applyAlignment="1">
      <alignment horizontal="left" vertical="center" wrapText="1"/>
    </xf>
    <xf numFmtId="0" fontId="4" fillId="0" borderId="41" xfId="0" applyFont="1" applyBorder="1" applyAlignment="1">
      <alignment horizontal="left" vertical="center" wrapText="1"/>
    </xf>
    <xf numFmtId="0" fontId="24" fillId="0" borderId="2" xfId="0" applyFont="1" applyBorder="1" applyAlignment="1">
      <alignment horizontal="left" vertical="center"/>
    </xf>
    <xf numFmtId="0" fontId="24" fillId="0" borderId="41" xfId="0" applyFont="1" applyBorder="1" applyAlignment="1">
      <alignment horizontal="left" vertical="center"/>
    </xf>
    <xf numFmtId="0" fontId="39" fillId="0" borderId="18" xfId="0" applyFont="1" applyBorder="1" applyAlignment="1">
      <alignment horizontal="left" vertical="center" wrapText="1"/>
    </xf>
    <xf numFmtId="0" fontId="39" fillId="0" borderId="52" xfId="0" applyFont="1" applyBorder="1" applyAlignment="1">
      <alignment horizontal="left" vertical="center" wrapText="1"/>
    </xf>
    <xf numFmtId="0" fontId="39" fillId="0" borderId="2" xfId="0" applyFont="1" applyBorder="1" applyAlignment="1">
      <alignment horizontal="left" vertical="center"/>
    </xf>
    <xf numFmtId="0" fontId="39" fillId="0" borderId="41" xfId="0" applyFont="1" applyBorder="1" applyAlignment="1">
      <alignment horizontal="left" vertical="center"/>
    </xf>
    <xf numFmtId="0" fontId="39" fillId="0" borderId="80" xfId="0" applyFont="1" applyBorder="1" applyAlignment="1">
      <alignment horizontal="left" vertical="center" wrapText="1"/>
    </xf>
    <xf numFmtId="0" fontId="39" fillId="0" borderId="49" xfId="0" applyFont="1" applyBorder="1" applyAlignment="1">
      <alignment horizontal="left" vertical="center" wrapText="1"/>
    </xf>
    <xf numFmtId="0" fontId="2" fillId="0" borderId="41" xfId="0" applyFont="1" applyBorder="1" applyAlignment="1">
      <alignment horizontal="left" vertical="center" wrapText="1"/>
    </xf>
    <xf numFmtId="0" fontId="2" fillId="0" borderId="80" xfId="0" applyFont="1" applyBorder="1" applyAlignment="1">
      <alignment horizontal="left" vertical="center" wrapText="1"/>
    </xf>
    <xf numFmtId="0" fontId="2" fillId="0" borderId="49" xfId="0" applyFont="1" applyBorder="1" applyAlignment="1">
      <alignment horizontal="left" vertical="center" wrapText="1"/>
    </xf>
    <xf numFmtId="0" fontId="2" fillId="0" borderId="46" xfId="0" applyFont="1" applyBorder="1" applyAlignment="1">
      <alignment horizontal="left" vertical="center" wrapText="1"/>
    </xf>
    <xf numFmtId="0" fontId="4" fillId="0" borderId="75" xfId="0" applyFont="1" applyBorder="1" applyAlignment="1">
      <alignment horizontal="left" vertical="center" wrapText="1"/>
    </xf>
    <xf numFmtId="49" fontId="42" fillId="0" borderId="4" xfId="0" applyNumberFormat="1" applyFont="1" applyBorder="1" applyAlignment="1" applyProtection="1">
      <alignment horizontal="center" vertical="center" wrapText="1"/>
      <protection hidden="1"/>
    </xf>
    <xf numFmtId="0" fontId="26" fillId="0" borderId="0" xfId="0" applyFont="1" applyAlignment="1">
      <alignment horizontal="center" vertical="center" wrapText="1"/>
    </xf>
    <xf numFmtId="0" fontId="46" fillId="12" borderId="28" xfId="0" applyFont="1" applyFill="1" applyBorder="1" applyAlignment="1">
      <alignment horizontal="center" vertical="center"/>
    </xf>
    <xf numFmtId="0" fontId="46" fillId="12" borderId="0" xfId="0" applyFont="1" applyFill="1" applyAlignment="1">
      <alignment horizontal="center" vertical="center"/>
    </xf>
    <xf numFmtId="0" fontId="2" fillId="0" borderId="4" xfId="0" applyFont="1" applyBorder="1" applyAlignment="1">
      <alignment horizontal="center"/>
    </xf>
    <xf numFmtId="49" fontId="42" fillId="0" borderId="4" xfId="0" applyNumberFormat="1" applyFont="1" applyBorder="1" applyAlignment="1" applyProtection="1">
      <alignment horizontal="left" vertical="center" wrapText="1"/>
      <protection hidden="1"/>
    </xf>
    <xf numFmtId="0" fontId="3" fillId="0" borderId="0" xfId="0" applyFont="1" applyAlignment="1" applyProtection="1">
      <alignment horizontal="center"/>
      <protection locked="0"/>
    </xf>
    <xf numFmtId="0" fontId="0" fillId="0" borderId="0" xfId="0" applyAlignment="1" applyProtection="1">
      <alignment horizontal="left" wrapText="1"/>
      <protection locked="0"/>
    </xf>
    <xf numFmtId="0" fontId="0" fillId="0" borderId="29" xfId="0"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53" xfId="0" applyBorder="1" applyAlignment="1" applyProtection="1">
      <alignment horizontal="left" wrapText="1"/>
      <protection locked="0"/>
    </xf>
    <xf numFmtId="0" fontId="0" fillId="0" borderId="28" xfId="0" applyBorder="1" applyAlignment="1" applyProtection="1">
      <alignment horizontal="left" wrapText="1"/>
      <protection locked="0"/>
    </xf>
    <xf numFmtId="0" fontId="0" fillId="0" borderId="20" xfId="0" applyBorder="1" applyAlignment="1" applyProtection="1">
      <alignment horizontal="left" wrapText="1"/>
      <protection locked="0"/>
    </xf>
    <xf numFmtId="0" fontId="0" fillId="0" borderId="18" xfId="0" applyBorder="1" applyAlignment="1" applyProtection="1">
      <alignment horizontal="left" wrapText="1"/>
      <protection locked="0"/>
    </xf>
    <xf numFmtId="0" fontId="0" fillId="0" borderId="21" xfId="0" applyBorder="1" applyAlignment="1" applyProtection="1">
      <alignment horizontal="left" wrapText="1"/>
      <protection locked="0"/>
    </xf>
    <xf numFmtId="0" fontId="0" fillId="0" borderId="52" xfId="0" applyBorder="1" applyAlignment="1" applyProtection="1">
      <alignment horizontal="left" wrapText="1"/>
      <protection locked="0"/>
    </xf>
    <xf numFmtId="0" fontId="3" fillId="0" borderId="72" xfId="0" applyFont="1" applyBorder="1" applyAlignment="1" applyProtection="1">
      <alignment horizontal="center"/>
      <protection locked="0"/>
    </xf>
    <xf numFmtId="0" fontId="3" fillId="0" borderId="71" xfId="0" applyFont="1" applyBorder="1" applyAlignment="1" applyProtection="1">
      <alignment horizontal="center"/>
      <protection locked="0"/>
    </xf>
    <xf numFmtId="0" fontId="3" fillId="0" borderId="14" xfId="0" applyFont="1" applyBorder="1"/>
    <xf numFmtId="0" fontId="3" fillId="0" borderId="0" xfId="0" applyFont="1"/>
    <xf numFmtId="0" fontId="3" fillId="0" borderId="35" xfId="0" applyFont="1" applyBorder="1"/>
    <xf numFmtId="0" fontId="3" fillId="0" borderId="14" xfId="0" applyFont="1" applyBorder="1" applyAlignment="1">
      <alignment wrapText="1"/>
    </xf>
    <xf numFmtId="0" fontId="3" fillId="0" borderId="0" xfId="0" applyFont="1" applyAlignment="1">
      <alignment wrapText="1"/>
    </xf>
    <xf numFmtId="0" fontId="3" fillId="0" borderId="35" xfId="0" applyFont="1" applyBorder="1" applyAlignment="1">
      <alignment wrapText="1"/>
    </xf>
    <xf numFmtId="0" fontId="3" fillId="0" borderId="14" xfId="0" applyFont="1" applyBorder="1" applyAlignment="1">
      <alignment vertical="center"/>
    </xf>
    <xf numFmtId="0" fontId="3" fillId="0" borderId="0" xfId="0" applyFont="1" applyAlignment="1">
      <alignment vertical="center"/>
    </xf>
    <xf numFmtId="0" fontId="3" fillId="0" borderId="35"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36" xfId="0" applyFont="1" applyBorder="1" applyAlignment="1">
      <alignment vertical="center"/>
    </xf>
    <xf numFmtId="0" fontId="18" fillId="0" borderId="56" xfId="0" applyFont="1" applyBorder="1" applyAlignment="1" applyProtection="1">
      <alignment horizontal="center"/>
      <protection locked="0"/>
    </xf>
    <xf numFmtId="0" fontId="18" fillId="0" borderId="55" xfId="0" applyFont="1" applyBorder="1" applyAlignment="1" applyProtection="1">
      <alignment horizontal="center"/>
      <protection locked="0"/>
    </xf>
    <xf numFmtId="0" fontId="18" fillId="0" borderId="34" xfId="0" applyFont="1" applyBorder="1" applyAlignment="1" applyProtection="1">
      <alignment horizontal="center"/>
      <protection locked="0"/>
    </xf>
    <xf numFmtId="0" fontId="41" fillId="0" borderId="14" xfId="0" applyFont="1" applyBorder="1" applyAlignment="1" applyProtection="1">
      <alignment horizontal="center"/>
      <protection locked="0"/>
    </xf>
    <xf numFmtId="0" fontId="41" fillId="0" borderId="0" xfId="0" applyFont="1" applyAlignment="1" applyProtection="1">
      <alignment horizontal="center"/>
      <protection locked="0"/>
    </xf>
    <xf numFmtId="0" fontId="41" fillId="0" borderId="35" xfId="0" applyFont="1" applyBorder="1" applyAlignment="1" applyProtection="1">
      <alignment horizontal="center"/>
      <protection locked="0"/>
    </xf>
    <xf numFmtId="0" fontId="37" fillId="0" borderId="0" xfId="2" applyFont="1" applyAlignment="1" applyProtection="1">
      <alignment horizontal="center"/>
      <protection locked="0"/>
    </xf>
    <xf numFmtId="49" fontId="6" fillId="0" borderId="4"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3" fillId="0" borderId="45" xfId="0" applyFont="1" applyBorder="1" applyAlignment="1">
      <alignment horizontal="left" vertical="center" wrapText="1"/>
    </xf>
    <xf numFmtId="0" fontId="2" fillId="0" borderId="80" xfId="0" applyFont="1" applyBorder="1" applyAlignment="1">
      <alignment horizontal="center" vertical="center" wrapText="1"/>
    </xf>
    <xf numFmtId="0" fontId="2" fillId="0" borderId="49" xfId="0" applyFont="1" applyBorder="1" applyAlignment="1">
      <alignment horizontal="center" vertical="center" wrapText="1"/>
    </xf>
    <xf numFmtId="0" fontId="42" fillId="0" borderId="4" xfId="0" applyFont="1" applyBorder="1" applyAlignment="1" applyProtection="1">
      <alignment horizontal="center" vertical="center" wrapText="1"/>
      <protection hidden="1"/>
    </xf>
    <xf numFmtId="0" fontId="45" fillId="0" borderId="0" xfId="0" applyFont="1" applyAlignment="1">
      <alignment horizontal="left" vertical="center"/>
    </xf>
    <xf numFmtId="0" fontId="39" fillId="0" borderId="0" xfId="0" applyFont="1" applyAlignment="1">
      <alignment horizontal="left" vertical="center"/>
    </xf>
    <xf numFmtId="0" fontId="18" fillId="12" borderId="4" xfId="0" applyFont="1" applyFill="1" applyBorder="1" applyAlignment="1">
      <alignment horizontal="center" vertical="center"/>
    </xf>
    <xf numFmtId="4" fontId="3" fillId="0" borderId="48" xfId="0" applyNumberFormat="1" applyFont="1" applyBorder="1" applyAlignment="1">
      <alignment horizontal="center" vertical="center"/>
    </xf>
    <xf numFmtId="4" fontId="3" fillId="0" borderId="44" xfId="0" applyNumberFormat="1" applyFont="1" applyBorder="1" applyAlignment="1">
      <alignment horizontal="center" vertical="center"/>
    </xf>
    <xf numFmtId="0" fontId="2" fillId="12" borderId="4" xfId="0" applyFont="1" applyFill="1" applyBorder="1" applyAlignment="1">
      <alignment horizontal="left" vertical="center" wrapText="1"/>
    </xf>
    <xf numFmtId="0" fontId="4" fillId="12" borderId="4" xfId="0" applyFont="1" applyFill="1" applyBorder="1" applyAlignment="1">
      <alignment horizontal="left" vertical="center"/>
    </xf>
    <xf numFmtId="0" fontId="4" fillId="12" borderId="4" xfId="0" applyFont="1" applyFill="1" applyBorder="1" applyAlignment="1">
      <alignment horizontal="left" vertical="center" wrapText="1"/>
    </xf>
    <xf numFmtId="0" fontId="6" fillId="0" borderId="77" xfId="0" applyFont="1" applyBorder="1" applyAlignment="1">
      <alignment horizontal="center" vertical="center"/>
    </xf>
    <xf numFmtId="0" fontId="2" fillId="0" borderId="79" xfId="0" applyFont="1" applyBorder="1" applyAlignment="1">
      <alignment horizontal="left" vertical="center" wrapText="1"/>
    </xf>
    <xf numFmtId="0" fontId="2" fillId="0" borderId="82" xfId="0" applyFont="1" applyBorder="1" applyAlignment="1">
      <alignment horizontal="left" vertical="center" wrapText="1"/>
    </xf>
    <xf numFmtId="0" fontId="2" fillId="0" borderId="76" xfId="0" applyFont="1" applyBorder="1" applyAlignment="1">
      <alignment horizontal="left" vertical="center" wrapText="1"/>
    </xf>
    <xf numFmtId="0" fontId="39" fillId="0" borderId="14" xfId="0" applyFont="1" applyBorder="1" applyAlignment="1">
      <alignment horizontal="left" vertical="center" wrapText="1"/>
    </xf>
    <xf numFmtId="0" fontId="39" fillId="0" borderId="0" xfId="0" applyFont="1" applyAlignment="1">
      <alignment horizontal="left" vertical="center" wrapText="1"/>
    </xf>
    <xf numFmtId="0" fontId="4" fillId="0" borderId="14" xfId="2" applyBorder="1" applyAlignment="1" applyProtection="1">
      <alignment horizontal="left" wrapText="1"/>
      <protection locked="0"/>
    </xf>
    <xf numFmtId="0" fontId="4" fillId="0" borderId="0" xfId="2" applyAlignment="1" applyProtection="1">
      <alignment horizontal="left" wrapText="1"/>
      <protection locked="0"/>
    </xf>
    <xf numFmtId="0" fontId="4" fillId="0" borderId="35" xfId="2" applyBorder="1" applyAlignment="1" applyProtection="1">
      <alignment horizontal="left" wrapText="1"/>
      <protection locked="0"/>
    </xf>
    <xf numFmtId="0" fontId="2" fillId="6" borderId="14" xfId="2" applyFont="1" applyFill="1" applyBorder="1" applyAlignment="1" applyProtection="1">
      <alignment horizontal="center" wrapText="1"/>
      <protection locked="0"/>
    </xf>
    <xf numFmtId="0" fontId="2" fillId="6" borderId="0" xfId="2" applyFont="1" applyFill="1" applyAlignment="1" applyProtection="1">
      <alignment horizontal="center" wrapText="1"/>
      <protection locked="0"/>
    </xf>
    <xf numFmtId="0" fontId="2" fillId="6" borderId="35" xfId="2" applyFont="1" applyFill="1" applyBorder="1" applyAlignment="1" applyProtection="1">
      <alignment horizontal="center" wrapText="1"/>
      <protection locked="0"/>
    </xf>
    <xf numFmtId="0" fontId="2" fillId="0" borderId="0" xfId="2" applyFont="1" applyAlignment="1" applyProtection="1">
      <alignment horizontal="center" vertical="center" wrapText="1"/>
      <protection locked="0"/>
    </xf>
    <xf numFmtId="0" fontId="2" fillId="0" borderId="35" xfId="2" applyFont="1" applyBorder="1" applyAlignment="1" applyProtection="1">
      <alignment horizontal="center" vertical="center" wrapText="1"/>
      <protection locked="0"/>
    </xf>
    <xf numFmtId="0" fontId="15" fillId="0" borderId="14" xfId="2" applyFont="1" applyBorder="1" applyAlignment="1" applyProtection="1">
      <alignment horizontal="center" shrinkToFit="1"/>
      <protection locked="0"/>
    </xf>
    <xf numFmtId="0" fontId="4" fillId="0" borderId="0" xfId="2" applyAlignment="1">
      <alignment shrinkToFit="1"/>
    </xf>
    <xf numFmtId="165" fontId="13" fillId="0" borderId="14" xfId="2" applyNumberFormat="1" applyFont="1" applyBorder="1" applyAlignment="1" applyProtection="1">
      <alignment horizontal="left"/>
      <protection locked="0"/>
    </xf>
    <xf numFmtId="165" fontId="13" fillId="0" borderId="0" xfId="2" applyNumberFormat="1" applyFont="1" applyAlignment="1" applyProtection="1">
      <alignment horizontal="left"/>
      <protection locked="0"/>
    </xf>
    <xf numFmtId="0" fontId="10" fillId="0" borderId="28" xfId="2" applyFont="1" applyBorder="1" applyAlignment="1" applyProtection="1">
      <alignment horizontal="left" vertical="center" wrapText="1"/>
      <protection locked="0"/>
    </xf>
    <xf numFmtId="0" fontId="10" fillId="0" borderId="0" xfId="2" applyFont="1" applyAlignment="1" applyProtection="1">
      <alignment horizontal="left" vertical="center" wrapText="1"/>
      <protection locked="0"/>
    </xf>
    <xf numFmtId="0" fontId="10" fillId="0" borderId="35" xfId="2" applyFont="1" applyBorder="1" applyAlignment="1" applyProtection="1">
      <alignment horizontal="left" vertical="center" wrapText="1"/>
      <protection locked="0"/>
    </xf>
    <xf numFmtId="0" fontId="3" fillId="0" borderId="56" xfId="0" applyFont="1" applyBorder="1" applyAlignment="1">
      <alignment horizontal="left" vertical="center"/>
    </xf>
    <xf numFmtId="0" fontId="3" fillId="0" borderId="55" xfId="0" applyFont="1" applyBorder="1" applyAlignment="1">
      <alignment horizontal="left" vertical="center"/>
    </xf>
    <xf numFmtId="0" fontId="3" fillId="0" borderId="34" xfId="0" applyFont="1" applyBorder="1" applyAlignment="1">
      <alignment horizontal="left" vertical="center"/>
    </xf>
    <xf numFmtId="49" fontId="3" fillId="0" borderId="14" xfId="0" applyNumberFormat="1" applyFont="1" applyBorder="1" applyAlignment="1">
      <alignment horizontal="left" vertical="center" wrapText="1"/>
    </xf>
    <xf numFmtId="49" fontId="3" fillId="0" borderId="0" xfId="0" applyNumberFormat="1" applyFont="1" applyAlignment="1">
      <alignment horizontal="left" vertical="center" wrapText="1"/>
    </xf>
    <xf numFmtId="49" fontId="3" fillId="0" borderId="35" xfId="0" applyNumberFormat="1"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Alignment="1">
      <alignment horizontal="left" vertical="center" wrapText="1"/>
    </xf>
    <xf numFmtId="0" fontId="3" fillId="0" borderId="35" xfId="0" applyFont="1" applyBorder="1" applyAlignment="1">
      <alignment horizontal="left" vertical="center" wrapText="1"/>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35" xfId="0" applyFont="1" applyBorder="1" applyAlignment="1">
      <alignment horizontal="left" vertical="center"/>
    </xf>
    <xf numFmtId="0" fontId="3" fillId="0" borderId="24" xfId="2" applyFont="1" applyBorder="1" applyAlignment="1">
      <alignment horizontal="left" vertical="center"/>
    </xf>
    <xf numFmtId="0" fontId="3" fillId="0" borderId="25" xfId="2" applyFont="1" applyBorder="1" applyAlignment="1">
      <alignment horizontal="left" vertical="center"/>
    </xf>
    <xf numFmtId="0" fontId="3" fillId="0" borderId="36" xfId="2" applyFont="1" applyBorder="1" applyAlignment="1">
      <alignment horizontal="left" vertical="center"/>
    </xf>
    <xf numFmtId="0" fontId="4" fillId="0" borderId="0" xfId="2" applyAlignment="1" applyProtection="1">
      <alignment horizontal="center"/>
      <protection locked="0"/>
    </xf>
    <xf numFmtId="0" fontId="4" fillId="0" borderId="35" xfId="2" applyBorder="1" applyAlignment="1" applyProtection="1">
      <alignment horizontal="center"/>
      <protection locked="0"/>
    </xf>
    <xf numFmtId="0" fontId="13" fillId="0" borderId="14" xfId="2" applyFont="1" applyBorder="1" applyAlignment="1" applyProtection="1">
      <alignment horizontal="left"/>
      <protection locked="0"/>
    </xf>
    <xf numFmtId="0" fontId="13" fillId="0" borderId="0" xfId="2" applyFont="1" applyAlignment="1" applyProtection="1">
      <alignment horizontal="left"/>
      <protection locked="0"/>
    </xf>
    <xf numFmtId="0" fontId="6" fillId="0" borderId="14" xfId="0" applyFont="1" applyBorder="1" applyAlignment="1" applyProtection="1">
      <alignment horizontal="center"/>
      <protection locked="0"/>
    </xf>
    <xf numFmtId="0" fontId="6" fillId="0" borderId="0" xfId="0" applyFont="1" applyAlignment="1" applyProtection="1">
      <alignment horizontal="center"/>
      <protection locked="0"/>
    </xf>
    <xf numFmtId="0" fontId="6" fillId="0" borderId="35" xfId="0" applyFont="1" applyBorder="1" applyAlignment="1" applyProtection="1">
      <alignment horizontal="center"/>
      <protection locked="0"/>
    </xf>
    <xf numFmtId="0" fontId="37" fillId="0" borderId="35" xfId="2" applyFont="1" applyBorder="1" applyAlignment="1" applyProtection="1">
      <alignment horizontal="center"/>
      <protection locked="0"/>
    </xf>
    <xf numFmtId="4" fontId="3" fillId="0" borderId="15" xfId="2" applyNumberFormat="1" applyFont="1" applyBorder="1" applyAlignment="1">
      <alignment horizontal="center" vertical="center"/>
    </xf>
    <xf numFmtId="4" fontId="3" fillId="0" borderId="16" xfId="2" applyNumberFormat="1" applyFont="1" applyBorder="1" applyAlignment="1">
      <alignment horizontal="center" vertical="center"/>
    </xf>
    <xf numFmtId="0" fontId="2" fillId="0" borderId="2" xfId="2" applyFont="1" applyBorder="1" applyAlignment="1">
      <alignment horizontal="left" vertical="center" wrapText="1"/>
    </xf>
    <xf numFmtId="0" fontId="2" fillId="0" borderId="41" xfId="2" applyFont="1" applyBorder="1" applyAlignment="1">
      <alignment horizontal="left" vertical="center" wrapText="1"/>
    </xf>
    <xf numFmtId="0" fontId="2" fillId="0" borderId="29" xfId="2" applyFont="1" applyBorder="1" applyAlignment="1">
      <alignment horizontal="left" vertical="center" wrapText="1"/>
    </xf>
    <xf numFmtId="0" fontId="2" fillId="0" borderId="53" xfId="2" applyFont="1" applyBorder="1" applyAlignment="1">
      <alignment horizontal="left" vertical="center" wrapText="1"/>
    </xf>
    <xf numFmtId="2" fontId="6" fillId="0" borderId="11" xfId="0" applyNumberFormat="1" applyFont="1" applyBorder="1" applyAlignment="1">
      <alignment horizontal="center" vertical="center" wrapText="1"/>
    </xf>
    <xf numFmtId="2" fontId="6" fillId="0" borderId="21" xfId="0" applyNumberFormat="1" applyFont="1" applyBorder="1" applyAlignment="1">
      <alignment horizontal="center" vertical="center" wrapText="1"/>
    </xf>
    <xf numFmtId="2" fontId="6" fillId="0" borderId="39" xfId="0" applyNumberFormat="1" applyFont="1" applyBorder="1" applyAlignment="1">
      <alignment horizontal="center" vertical="center" wrapText="1"/>
    </xf>
    <xf numFmtId="0" fontId="6" fillId="0" borderId="27" xfId="2" applyFont="1" applyBorder="1" applyAlignment="1">
      <alignment horizontal="center" vertical="center"/>
    </xf>
    <xf numFmtId="0" fontId="6" fillId="0" borderId="65" xfId="2" applyFont="1" applyBorder="1" applyAlignment="1">
      <alignment horizontal="center" vertical="center"/>
    </xf>
    <xf numFmtId="0" fontId="3" fillId="0" borderId="46" xfId="2" applyFont="1" applyBorder="1" applyAlignment="1">
      <alignment horizontal="left" vertical="center" wrapText="1"/>
    </xf>
    <xf numFmtId="0" fontId="3" fillId="0" borderId="75" xfId="2" applyFont="1" applyBorder="1" applyAlignment="1">
      <alignment horizontal="left" vertical="center" wrapText="1"/>
    </xf>
    <xf numFmtId="4" fontId="3" fillId="4" borderId="56" xfId="2" applyNumberFormat="1" applyFont="1" applyFill="1" applyBorder="1" applyAlignment="1">
      <alignment horizontal="left" vertical="center" wrapText="1"/>
    </xf>
    <xf numFmtId="4" fontId="3" fillId="4" borderId="55" xfId="2" applyNumberFormat="1" applyFont="1" applyFill="1" applyBorder="1" applyAlignment="1">
      <alignment horizontal="left" vertical="center" wrapText="1"/>
    </xf>
    <xf numFmtId="0" fontId="4" fillId="4" borderId="55" xfId="2" applyFill="1" applyBorder="1" applyAlignment="1">
      <alignment horizontal="left" wrapText="1"/>
    </xf>
    <xf numFmtId="0" fontId="2" fillId="0" borderId="13" xfId="2" applyFont="1" applyBorder="1" applyAlignment="1">
      <alignment horizontal="center" vertical="center" wrapText="1"/>
    </xf>
    <xf numFmtId="0" fontId="2" fillId="0" borderId="12" xfId="2" applyFont="1" applyBorder="1" applyAlignment="1">
      <alignment horizontal="center" vertical="center" wrapText="1"/>
    </xf>
    <xf numFmtId="0" fontId="2" fillId="0" borderId="6" xfId="2" applyFont="1" applyBorder="1" applyAlignment="1">
      <alignment horizontal="center" vertical="center" wrapText="1"/>
    </xf>
    <xf numFmtId="0" fontId="2" fillId="0" borderId="0" xfId="2" applyFont="1" applyAlignment="1">
      <alignment horizontal="left"/>
    </xf>
    <xf numFmtId="0" fontId="2" fillId="0" borderId="0" xfId="0" applyFont="1" applyAlignment="1">
      <alignment horizontal="left" wrapText="1"/>
    </xf>
    <xf numFmtId="166" fontId="6" fillId="0" borderId="4" xfId="0" applyNumberFormat="1" applyFont="1" applyBorder="1" applyAlignment="1">
      <alignment horizontal="center" vertical="center" wrapText="1"/>
    </xf>
    <xf numFmtId="166" fontId="6" fillId="0" borderId="8" xfId="0" applyNumberFormat="1" applyFont="1" applyBorder="1" applyAlignment="1">
      <alignment horizontal="center" vertical="center" wrapText="1"/>
    </xf>
    <xf numFmtId="2" fontId="3" fillId="0" borderId="48" xfId="0" applyNumberFormat="1" applyFont="1" applyBorder="1" applyAlignment="1">
      <alignment horizontal="center" vertical="center" wrapText="1"/>
    </xf>
    <xf numFmtId="2" fontId="3" fillId="0" borderId="44" xfId="0" applyNumberFormat="1" applyFont="1" applyBorder="1" applyAlignment="1">
      <alignment horizontal="center" vertical="center" wrapText="1"/>
    </xf>
    <xf numFmtId="2" fontId="3" fillId="0" borderId="37" xfId="0" applyNumberFormat="1" applyFont="1" applyBorder="1" applyAlignment="1">
      <alignment horizontal="center" vertical="center" wrapText="1"/>
    </xf>
    <xf numFmtId="4" fontId="3" fillId="4" borderId="14" xfId="2" applyNumberFormat="1" applyFont="1" applyFill="1" applyBorder="1" applyAlignment="1">
      <alignment horizontal="left" vertical="center" wrapText="1"/>
    </xf>
    <xf numFmtId="4" fontId="3" fillId="4" borderId="0" xfId="2" applyNumberFormat="1" applyFont="1" applyFill="1" applyAlignment="1">
      <alignment horizontal="left" vertical="center" wrapText="1"/>
    </xf>
    <xf numFmtId="0" fontId="2" fillId="4" borderId="0" xfId="2" applyFont="1" applyFill="1" applyAlignment="1">
      <alignment horizontal="left" wrapText="1"/>
    </xf>
    <xf numFmtId="0" fontId="2" fillId="0" borderId="2" xfId="2" applyFont="1" applyBorder="1" applyAlignment="1">
      <alignment horizontal="left" vertical="center"/>
    </xf>
    <xf numFmtId="0" fontId="2" fillId="0" borderId="41" xfId="2" applyFont="1" applyBorder="1" applyAlignment="1">
      <alignment horizontal="left" vertical="center"/>
    </xf>
    <xf numFmtId="2" fontId="6" fillId="0" borderId="15" xfId="0" applyNumberFormat="1" applyFont="1" applyBorder="1" applyAlignment="1">
      <alignment horizontal="center" vertical="center" wrapText="1"/>
    </xf>
    <xf numFmtId="2" fontId="6" fillId="0" borderId="16" xfId="0" applyNumberFormat="1" applyFont="1" applyBorder="1" applyAlignment="1">
      <alignment horizontal="center" vertical="center" wrapText="1"/>
    </xf>
    <xf numFmtId="2" fontId="6" fillId="0" borderId="17" xfId="0" applyNumberFormat="1" applyFont="1" applyBorder="1" applyAlignment="1">
      <alignment horizontal="center" vertical="center" wrapText="1"/>
    </xf>
    <xf numFmtId="166" fontId="6" fillId="0" borderId="2" xfId="0" applyNumberFormat="1" applyFont="1" applyBorder="1" applyAlignment="1">
      <alignment horizontal="center" vertical="center" wrapText="1"/>
    </xf>
    <xf numFmtId="166" fontId="6" fillId="0" borderId="38" xfId="0" applyNumberFormat="1" applyFont="1" applyBorder="1" applyAlignment="1">
      <alignment horizontal="center" vertical="center" wrapText="1"/>
    </xf>
    <xf numFmtId="4" fontId="3" fillId="0" borderId="23" xfId="0" applyNumberFormat="1" applyFont="1" applyBorder="1" applyAlignment="1">
      <alignment horizontal="center" vertical="center"/>
    </xf>
    <xf numFmtId="4" fontId="3" fillId="0" borderId="22" xfId="0" applyNumberFormat="1" applyFont="1" applyBorder="1" applyAlignment="1">
      <alignment horizontal="center" vertical="center"/>
    </xf>
    <xf numFmtId="4" fontId="3" fillId="4" borderId="14" xfId="0" applyNumberFormat="1" applyFont="1" applyFill="1" applyBorder="1" applyAlignment="1">
      <alignment horizontal="left" vertical="center" wrapText="1"/>
    </xf>
    <xf numFmtId="4" fontId="3" fillId="4" borderId="0" xfId="0" applyNumberFormat="1" applyFont="1" applyFill="1" applyAlignment="1">
      <alignment horizontal="left" vertical="center" wrapText="1"/>
    </xf>
    <xf numFmtId="0" fontId="4" fillId="4" borderId="0" xfId="0" applyFont="1" applyFill="1" applyAlignment="1">
      <alignment horizontal="left" vertical="center" wrapText="1"/>
    </xf>
    <xf numFmtId="2" fontId="3" fillId="0" borderId="4" xfId="0" applyNumberFormat="1" applyFont="1" applyBorder="1" applyAlignment="1">
      <alignment horizontal="center" vertical="center" wrapText="1"/>
    </xf>
    <xf numFmtId="0" fontId="6" fillId="0" borderId="16" xfId="0" applyFont="1" applyBorder="1" applyAlignment="1">
      <alignment horizontal="center" vertical="center"/>
    </xf>
    <xf numFmtId="0" fontId="3" fillId="0" borderId="46" xfId="0" applyFont="1" applyBorder="1" applyAlignment="1">
      <alignment horizontal="left" vertical="center" wrapText="1"/>
    </xf>
    <xf numFmtId="0" fontId="3" fillId="0" borderId="60" xfId="0" applyFont="1" applyBorder="1" applyAlignment="1">
      <alignment horizontal="left" vertical="center" wrapText="1"/>
    </xf>
    <xf numFmtId="2" fontId="13" fillId="0" borderId="4" xfId="0" applyNumberFormat="1" applyFont="1" applyBorder="1" applyAlignment="1">
      <alignment horizontal="center" vertical="center" wrapText="1"/>
    </xf>
    <xf numFmtId="2" fontId="6" fillId="0" borderId="10" xfId="0" applyNumberFormat="1" applyFont="1" applyBorder="1" applyAlignment="1">
      <alignment horizontal="center" vertical="center" wrapText="1"/>
    </xf>
    <xf numFmtId="2" fontId="6" fillId="0" borderId="3" xfId="0" applyNumberFormat="1" applyFont="1" applyBorder="1" applyAlignment="1">
      <alignment horizontal="center" vertical="center" wrapText="1"/>
    </xf>
    <xf numFmtId="2" fontId="6" fillId="0" borderId="38" xfId="0" applyNumberFormat="1" applyFont="1" applyBorder="1" applyAlignment="1">
      <alignment horizontal="center" vertical="center" wrapText="1"/>
    </xf>
    <xf numFmtId="2" fontId="6" fillId="0" borderId="41" xfId="0" applyNumberFormat="1" applyFont="1" applyBorder="1" applyAlignment="1">
      <alignment horizontal="center" vertical="center" wrapText="1"/>
    </xf>
    <xf numFmtId="2" fontId="6" fillId="0" borderId="2" xfId="0" applyNumberFormat="1" applyFont="1" applyBorder="1" applyAlignment="1">
      <alignment horizontal="center" vertical="center" wrapText="1"/>
    </xf>
  </cellXfs>
  <cellStyles count="55">
    <cellStyle name="20% - Ênfase1 2" xfId="12" xr:uid="{00000000-0005-0000-0000-000000000000}"/>
    <cellStyle name="20% - Ênfase2 2" xfId="13" xr:uid="{00000000-0005-0000-0000-000001000000}"/>
    <cellStyle name="20% - Ênfase3 2" xfId="14" xr:uid="{00000000-0005-0000-0000-000002000000}"/>
    <cellStyle name="20% - Ênfase4 2" xfId="15" xr:uid="{00000000-0005-0000-0000-000003000000}"/>
    <cellStyle name="20% - Ênfase5 2" xfId="16" xr:uid="{00000000-0005-0000-0000-000004000000}"/>
    <cellStyle name="20% - Ênfase6 2" xfId="17" xr:uid="{00000000-0005-0000-0000-000005000000}"/>
    <cellStyle name="40% - Ênfase1 2" xfId="18" xr:uid="{00000000-0005-0000-0000-000006000000}"/>
    <cellStyle name="40% - Ênfase2 2" xfId="19" xr:uid="{00000000-0005-0000-0000-000007000000}"/>
    <cellStyle name="40% - Ênfase3 2" xfId="20" xr:uid="{00000000-0005-0000-0000-000008000000}"/>
    <cellStyle name="40% - Ênfase4 2" xfId="21" xr:uid="{00000000-0005-0000-0000-000009000000}"/>
    <cellStyle name="40% - Ênfase5 2" xfId="22" xr:uid="{00000000-0005-0000-0000-00000A000000}"/>
    <cellStyle name="40% - Ênfase6 2" xfId="23" xr:uid="{00000000-0005-0000-0000-00000B000000}"/>
    <cellStyle name="60% - Ênfase1 2" xfId="24" xr:uid="{00000000-0005-0000-0000-00000C000000}"/>
    <cellStyle name="60% - Ênfase2 2" xfId="25" xr:uid="{00000000-0005-0000-0000-00000D000000}"/>
    <cellStyle name="60% - Ênfase3 2" xfId="26" xr:uid="{00000000-0005-0000-0000-00000E000000}"/>
    <cellStyle name="60% - Ênfase4 2" xfId="27" xr:uid="{00000000-0005-0000-0000-00000F000000}"/>
    <cellStyle name="60% - Ênfase5 2" xfId="28" xr:uid="{00000000-0005-0000-0000-000010000000}"/>
    <cellStyle name="60% - Ênfase6 2" xfId="29" xr:uid="{00000000-0005-0000-0000-000011000000}"/>
    <cellStyle name="Bom 2" xfId="30" xr:uid="{00000000-0005-0000-0000-000012000000}"/>
    <cellStyle name="Cálculo 2" xfId="31" xr:uid="{00000000-0005-0000-0000-000013000000}"/>
    <cellStyle name="Célula de Verificação 2" xfId="32" xr:uid="{00000000-0005-0000-0000-000014000000}"/>
    <cellStyle name="Célula Vinculada 2" xfId="33" xr:uid="{00000000-0005-0000-0000-000015000000}"/>
    <cellStyle name="Ênfase1 2" xfId="48" xr:uid="{00000000-0005-0000-0000-000016000000}"/>
    <cellStyle name="Ênfase2 2" xfId="49" xr:uid="{00000000-0005-0000-0000-000017000000}"/>
    <cellStyle name="Ênfase3 2" xfId="50" xr:uid="{00000000-0005-0000-0000-000018000000}"/>
    <cellStyle name="Ênfase4 2" xfId="51" xr:uid="{00000000-0005-0000-0000-000019000000}"/>
    <cellStyle name="Ênfase5 2" xfId="52" xr:uid="{00000000-0005-0000-0000-00001A000000}"/>
    <cellStyle name="Ênfase6 2" xfId="53" xr:uid="{00000000-0005-0000-0000-00001B000000}"/>
    <cellStyle name="Entrada 2" xfId="34" xr:uid="{00000000-0005-0000-0000-00001C000000}"/>
    <cellStyle name="Excel Built-in Normal" xfId="54" xr:uid="{00000000-0005-0000-0000-00001D000000}"/>
    <cellStyle name="Incorreto 2" xfId="35" xr:uid="{00000000-0005-0000-0000-00001E000000}"/>
    <cellStyle name="Moeda 2" xfId="10" xr:uid="{00000000-0005-0000-0000-00001F000000}"/>
    <cellStyle name="Neutra 2" xfId="36" xr:uid="{00000000-0005-0000-0000-000021000000}"/>
    <cellStyle name="Neutro" xfId="1" builtinId="28"/>
    <cellStyle name="Normal" xfId="0" builtinId="0"/>
    <cellStyle name="Normal 2" xfId="2" xr:uid="{00000000-0005-0000-0000-000023000000}"/>
    <cellStyle name="Normal 2 2" xfId="37" xr:uid="{00000000-0005-0000-0000-000024000000}"/>
    <cellStyle name="Normal 3" xfId="4" xr:uid="{00000000-0005-0000-0000-000025000000}"/>
    <cellStyle name="Normal 4" xfId="8" xr:uid="{00000000-0005-0000-0000-000026000000}"/>
    <cellStyle name="Normal 7 2" xfId="5" xr:uid="{00000000-0005-0000-0000-000027000000}"/>
    <cellStyle name="Nota 2" xfId="38" xr:uid="{00000000-0005-0000-0000-000028000000}"/>
    <cellStyle name="Porcentagem 2" xfId="11" xr:uid="{00000000-0005-0000-0000-000029000000}"/>
    <cellStyle name="Saída 2" xfId="39" xr:uid="{00000000-0005-0000-0000-00002A000000}"/>
    <cellStyle name="Texto de Aviso 2" xfId="40" xr:uid="{00000000-0005-0000-0000-00002B000000}"/>
    <cellStyle name="Texto Explicativo 2" xfId="41" xr:uid="{00000000-0005-0000-0000-00002C000000}"/>
    <cellStyle name="Título 1 2" xfId="43" xr:uid="{00000000-0005-0000-0000-00002D000000}"/>
    <cellStyle name="Título 2 2" xfId="44" xr:uid="{00000000-0005-0000-0000-00002E000000}"/>
    <cellStyle name="Título 3 2" xfId="45" xr:uid="{00000000-0005-0000-0000-00002F000000}"/>
    <cellStyle name="Título 4 2" xfId="46" xr:uid="{00000000-0005-0000-0000-000030000000}"/>
    <cellStyle name="Título 5" xfId="47" xr:uid="{00000000-0005-0000-0000-000031000000}"/>
    <cellStyle name="Total 2" xfId="42" xr:uid="{00000000-0005-0000-0000-000032000000}"/>
    <cellStyle name="Vírgula 12" xfId="6" xr:uid="{00000000-0005-0000-0000-000034000000}"/>
    <cellStyle name="Vírgula 2" xfId="3" xr:uid="{00000000-0005-0000-0000-000035000000}"/>
    <cellStyle name="Vírgula 3" xfId="9" xr:uid="{00000000-0005-0000-0000-000036000000}"/>
    <cellStyle name="Vírgula 5 6" xfId="7" xr:uid="{00000000-0005-0000-0000-00003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2566780</xdr:colOff>
      <xdr:row>0</xdr:row>
      <xdr:rowOff>78685</xdr:rowOff>
    </xdr:from>
    <xdr:to>
      <xdr:col>2</xdr:col>
      <xdr:colOff>4500537</xdr:colOff>
      <xdr:row>0</xdr:row>
      <xdr:rowOff>581605</xdr:rowOff>
    </xdr:to>
    <xdr:pic>
      <xdr:nvPicPr>
        <xdr:cNvPr id="10" name="Imagem 9" descr="logo Funasa">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7563" y="78685"/>
          <a:ext cx="1933757" cy="50292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1714500</xdr:colOff>
      <xdr:row>0</xdr:row>
      <xdr:rowOff>76200</xdr:rowOff>
    </xdr:from>
    <xdr:to>
      <xdr:col>4</xdr:col>
      <xdr:colOff>410044</xdr:colOff>
      <xdr:row>0</xdr:row>
      <xdr:rowOff>579120</xdr:rowOff>
    </xdr:to>
    <xdr:pic>
      <xdr:nvPicPr>
        <xdr:cNvPr id="3" name="Imagem 2" descr="logo Funasa">
          <a:extLst>
            <a:ext uri="{FF2B5EF4-FFF2-40B4-BE49-F238E27FC236}">
              <a16:creationId xmlns:a16="http://schemas.microsoft.com/office/drawing/2014/main" id="{00000000-0008-0000-1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19350" y="76200"/>
          <a:ext cx="1936242" cy="50292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2181225</xdr:colOff>
      <xdr:row>0</xdr:row>
      <xdr:rowOff>104775</xdr:rowOff>
    </xdr:from>
    <xdr:to>
      <xdr:col>4</xdr:col>
      <xdr:colOff>488442</xdr:colOff>
      <xdr:row>0</xdr:row>
      <xdr:rowOff>607695</xdr:rowOff>
    </xdr:to>
    <xdr:pic>
      <xdr:nvPicPr>
        <xdr:cNvPr id="5" name="Imagem 4" descr="logo Funasa">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075" y="104775"/>
          <a:ext cx="1936242" cy="50292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2381250</xdr:colOff>
      <xdr:row>0</xdr:row>
      <xdr:rowOff>76200</xdr:rowOff>
    </xdr:from>
    <xdr:to>
      <xdr:col>3</xdr:col>
      <xdr:colOff>221742</xdr:colOff>
      <xdr:row>0</xdr:row>
      <xdr:rowOff>579120</xdr:rowOff>
    </xdr:to>
    <xdr:pic>
      <xdr:nvPicPr>
        <xdr:cNvPr id="3" name="Imagem 2" descr="logo Funasa">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76200"/>
          <a:ext cx="1936242" cy="50292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371475</xdr:colOff>
      <xdr:row>14</xdr:row>
      <xdr:rowOff>114300</xdr:rowOff>
    </xdr:from>
    <xdr:to>
      <xdr:col>19</xdr:col>
      <xdr:colOff>485775</xdr:colOff>
      <xdr:row>35</xdr:row>
      <xdr:rowOff>122583</xdr:rowOff>
    </xdr:to>
    <xdr:pic>
      <xdr:nvPicPr>
        <xdr:cNvPr id="2" name="Imagem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53525" y="2571750"/>
          <a:ext cx="4991100" cy="3571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2209800</xdr:colOff>
      <xdr:row>0</xdr:row>
      <xdr:rowOff>66675</xdr:rowOff>
    </xdr:from>
    <xdr:to>
      <xdr:col>3</xdr:col>
      <xdr:colOff>188197</xdr:colOff>
      <xdr:row>0</xdr:row>
      <xdr:rowOff>569595</xdr:rowOff>
    </xdr:to>
    <xdr:pic>
      <xdr:nvPicPr>
        <xdr:cNvPr id="3" name="Imagem 2" descr="logo Funasa">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4650" y="66675"/>
          <a:ext cx="1936242" cy="50292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2333625</xdr:colOff>
      <xdr:row>0</xdr:row>
      <xdr:rowOff>76200</xdr:rowOff>
    </xdr:from>
    <xdr:to>
      <xdr:col>5</xdr:col>
      <xdr:colOff>59817</xdr:colOff>
      <xdr:row>0</xdr:row>
      <xdr:rowOff>579120</xdr:rowOff>
    </xdr:to>
    <xdr:pic>
      <xdr:nvPicPr>
        <xdr:cNvPr id="3" name="Imagem 2" descr="logo Funasa">
          <a:extLst>
            <a:ext uri="{FF2B5EF4-FFF2-40B4-BE49-F238E27FC236}">
              <a16:creationId xmlns:a16="http://schemas.microsoft.com/office/drawing/2014/main" id="{00000000-0008-0000-0F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8475" y="76200"/>
          <a:ext cx="1936242" cy="50292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114300</xdr:colOff>
      <xdr:row>33</xdr:row>
      <xdr:rowOff>104775</xdr:rowOff>
    </xdr:from>
    <xdr:to>
      <xdr:col>5</xdr:col>
      <xdr:colOff>209550</xdr:colOff>
      <xdr:row>37</xdr:row>
      <xdr:rowOff>133350</xdr:rowOff>
    </xdr:to>
    <xdr:sp macro="" textlink="">
      <xdr:nvSpPr>
        <xdr:cNvPr id="4" name="Retângulo 3">
          <a:extLst>
            <a:ext uri="{FF2B5EF4-FFF2-40B4-BE49-F238E27FC236}">
              <a16:creationId xmlns:a16="http://schemas.microsoft.com/office/drawing/2014/main" id="{00000000-0008-0000-1100-000004000000}"/>
            </a:ext>
          </a:extLst>
        </xdr:cNvPr>
        <xdr:cNvSpPr/>
      </xdr:nvSpPr>
      <xdr:spPr bwMode="auto">
        <a:xfrm>
          <a:off x="3240741" y="6268010"/>
          <a:ext cx="946897" cy="700928"/>
        </a:xfrm>
        <a:prstGeom prst="rect">
          <a:avLst/>
        </a:prstGeom>
        <a:solidFill>
          <a:schemeClr val="tx2">
            <a:lumMod val="20000"/>
            <a:lumOff val="80000"/>
          </a:schemeClr>
        </a:solidFill>
        <a:ln w="9525"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t" upright="1"/>
        <a:lstStyle/>
        <a:p>
          <a:pPr algn="l"/>
          <a:endParaRPr lang="pt-BR" sz="1100"/>
        </a:p>
      </xdr:txBody>
    </xdr:sp>
    <xdr:clientData/>
  </xdr:twoCellAnchor>
  <xdr:twoCellAnchor>
    <xdr:from>
      <xdr:col>4</xdr:col>
      <xdr:colOff>123825</xdr:colOff>
      <xdr:row>35</xdr:row>
      <xdr:rowOff>133350</xdr:rowOff>
    </xdr:from>
    <xdr:to>
      <xdr:col>5</xdr:col>
      <xdr:colOff>209550</xdr:colOff>
      <xdr:row>37</xdr:row>
      <xdr:rowOff>142875</xdr:rowOff>
    </xdr:to>
    <xdr:sp macro="" textlink="">
      <xdr:nvSpPr>
        <xdr:cNvPr id="5" name="Retângulo 4">
          <a:extLst>
            <a:ext uri="{FF2B5EF4-FFF2-40B4-BE49-F238E27FC236}">
              <a16:creationId xmlns:a16="http://schemas.microsoft.com/office/drawing/2014/main" id="{00000000-0008-0000-1100-000005000000}"/>
            </a:ext>
          </a:extLst>
        </xdr:cNvPr>
        <xdr:cNvSpPr/>
      </xdr:nvSpPr>
      <xdr:spPr bwMode="auto">
        <a:xfrm>
          <a:off x="3250266" y="6610350"/>
          <a:ext cx="937372" cy="368113"/>
        </a:xfrm>
        <a:prstGeom prst="rect">
          <a:avLst/>
        </a:prstGeom>
        <a:solidFill>
          <a:schemeClr val="tx2">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pt-BR" sz="1100"/>
        </a:p>
      </xdr:txBody>
    </xdr:sp>
    <xdr:clientData/>
  </xdr:twoCellAnchor>
  <xdr:twoCellAnchor>
    <xdr:from>
      <xdr:col>4</xdr:col>
      <xdr:colOff>400050</xdr:colOff>
      <xdr:row>44</xdr:row>
      <xdr:rowOff>142875</xdr:rowOff>
    </xdr:from>
    <xdr:to>
      <xdr:col>5</xdr:col>
      <xdr:colOff>495300</xdr:colOff>
      <xdr:row>48</xdr:row>
      <xdr:rowOff>209550</xdr:rowOff>
    </xdr:to>
    <xdr:sp macro="" textlink="">
      <xdr:nvSpPr>
        <xdr:cNvPr id="6" name="Retângulo 5">
          <a:extLst>
            <a:ext uri="{FF2B5EF4-FFF2-40B4-BE49-F238E27FC236}">
              <a16:creationId xmlns:a16="http://schemas.microsoft.com/office/drawing/2014/main" id="{00000000-0008-0000-1100-000006000000}"/>
            </a:ext>
          </a:extLst>
        </xdr:cNvPr>
        <xdr:cNvSpPr/>
      </xdr:nvSpPr>
      <xdr:spPr bwMode="auto">
        <a:xfrm>
          <a:off x="3533775" y="8696325"/>
          <a:ext cx="942975" cy="714375"/>
        </a:xfrm>
        <a:prstGeom prst="rect">
          <a:avLst/>
        </a:prstGeom>
        <a:solidFill>
          <a:schemeClr val="tx2">
            <a:lumMod val="20000"/>
            <a:lumOff val="80000"/>
          </a:schemeClr>
        </a:solidFill>
        <a:ln w="9525"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t" upright="1"/>
        <a:lstStyle/>
        <a:p>
          <a:pPr algn="l"/>
          <a:endParaRPr lang="pt-BR" sz="1100"/>
        </a:p>
      </xdr:txBody>
    </xdr:sp>
    <xdr:clientData/>
  </xdr:twoCellAnchor>
  <xdr:twoCellAnchor>
    <xdr:from>
      <xdr:col>4</xdr:col>
      <xdr:colOff>400050</xdr:colOff>
      <xdr:row>44</xdr:row>
      <xdr:rowOff>142876</xdr:rowOff>
    </xdr:from>
    <xdr:to>
      <xdr:col>5</xdr:col>
      <xdr:colOff>485775</xdr:colOff>
      <xdr:row>47</xdr:row>
      <xdr:rowOff>19051</xdr:rowOff>
    </xdr:to>
    <xdr:sp macro="" textlink="">
      <xdr:nvSpPr>
        <xdr:cNvPr id="7" name="Retângulo 6">
          <a:extLst>
            <a:ext uri="{FF2B5EF4-FFF2-40B4-BE49-F238E27FC236}">
              <a16:creationId xmlns:a16="http://schemas.microsoft.com/office/drawing/2014/main" id="{00000000-0008-0000-1100-000007000000}"/>
            </a:ext>
          </a:extLst>
        </xdr:cNvPr>
        <xdr:cNvSpPr/>
      </xdr:nvSpPr>
      <xdr:spPr bwMode="auto">
        <a:xfrm>
          <a:off x="3533775" y="8696326"/>
          <a:ext cx="933450" cy="361950"/>
        </a:xfrm>
        <a:prstGeom prst="rect">
          <a:avLst/>
        </a:prstGeom>
        <a:solidFill>
          <a:schemeClr val="accent2"/>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pt-BR" sz="1100"/>
        </a:p>
      </xdr:txBody>
    </xdr:sp>
    <xdr:clientData/>
  </xdr:twoCellAnchor>
  <xdr:twoCellAnchor>
    <xdr:from>
      <xdr:col>4</xdr:col>
      <xdr:colOff>571500</xdr:colOff>
      <xdr:row>45</xdr:row>
      <xdr:rowOff>114300</xdr:rowOff>
    </xdr:from>
    <xdr:to>
      <xdr:col>5</xdr:col>
      <xdr:colOff>381000</xdr:colOff>
      <xdr:row>47</xdr:row>
      <xdr:rowOff>38100</xdr:rowOff>
    </xdr:to>
    <xdr:sp macro="" textlink="">
      <xdr:nvSpPr>
        <xdr:cNvPr id="8" name="CaixaDeTexto 7">
          <a:extLst>
            <a:ext uri="{FF2B5EF4-FFF2-40B4-BE49-F238E27FC236}">
              <a16:creationId xmlns:a16="http://schemas.microsoft.com/office/drawing/2014/main" id="{00000000-0008-0000-1100-000008000000}"/>
            </a:ext>
          </a:extLst>
        </xdr:cNvPr>
        <xdr:cNvSpPr txBox="1"/>
      </xdr:nvSpPr>
      <xdr:spPr>
        <a:xfrm>
          <a:off x="3705225" y="8829675"/>
          <a:ext cx="6572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t>Largura</a:t>
          </a:r>
        </a:p>
      </xdr:txBody>
    </xdr:sp>
    <xdr:clientData/>
  </xdr:twoCellAnchor>
  <xdr:twoCellAnchor>
    <xdr:from>
      <xdr:col>4</xdr:col>
      <xdr:colOff>819150</xdr:colOff>
      <xdr:row>35</xdr:row>
      <xdr:rowOff>95250</xdr:rowOff>
    </xdr:from>
    <xdr:to>
      <xdr:col>5</xdr:col>
      <xdr:colOff>285750</xdr:colOff>
      <xdr:row>38</xdr:row>
      <xdr:rowOff>9525</xdr:rowOff>
    </xdr:to>
    <xdr:sp macro="" textlink="">
      <xdr:nvSpPr>
        <xdr:cNvPr id="9" name="CaixaDeTexto 8">
          <a:extLst>
            <a:ext uri="{FF2B5EF4-FFF2-40B4-BE49-F238E27FC236}">
              <a16:creationId xmlns:a16="http://schemas.microsoft.com/office/drawing/2014/main" id="{00000000-0008-0000-1100-000009000000}"/>
            </a:ext>
          </a:extLst>
        </xdr:cNvPr>
        <xdr:cNvSpPr txBox="1"/>
      </xdr:nvSpPr>
      <xdr:spPr>
        <a:xfrm>
          <a:off x="3952875" y="6772275"/>
          <a:ext cx="31432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t"/>
        <a:lstStyle/>
        <a:p>
          <a:r>
            <a:rPr lang="pt-BR" sz="1100"/>
            <a:t>Altura</a:t>
          </a:r>
        </a:p>
      </xdr:txBody>
    </xdr:sp>
    <xdr:clientData/>
  </xdr:twoCellAnchor>
  <xdr:twoCellAnchor>
    <xdr:from>
      <xdr:col>5</xdr:col>
      <xdr:colOff>219075</xdr:colOff>
      <xdr:row>44</xdr:row>
      <xdr:rowOff>76200</xdr:rowOff>
    </xdr:from>
    <xdr:to>
      <xdr:col>5</xdr:col>
      <xdr:colOff>533400</xdr:colOff>
      <xdr:row>47</xdr:row>
      <xdr:rowOff>66675</xdr:rowOff>
    </xdr:to>
    <xdr:sp macro="" textlink="">
      <xdr:nvSpPr>
        <xdr:cNvPr id="11" name="CaixaDeTexto 10">
          <a:extLst>
            <a:ext uri="{FF2B5EF4-FFF2-40B4-BE49-F238E27FC236}">
              <a16:creationId xmlns:a16="http://schemas.microsoft.com/office/drawing/2014/main" id="{00000000-0008-0000-1100-00000B000000}"/>
            </a:ext>
          </a:extLst>
        </xdr:cNvPr>
        <xdr:cNvSpPr txBox="1"/>
      </xdr:nvSpPr>
      <xdr:spPr>
        <a:xfrm>
          <a:off x="4200525" y="8629650"/>
          <a:ext cx="31432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t"/>
        <a:lstStyle/>
        <a:p>
          <a:r>
            <a:rPr lang="pt-BR" sz="1100"/>
            <a:t>Altura</a:t>
          </a:r>
        </a:p>
      </xdr:txBody>
    </xdr:sp>
    <xdr:clientData/>
  </xdr:twoCellAnchor>
  <xdr:twoCellAnchor>
    <xdr:from>
      <xdr:col>4</xdr:col>
      <xdr:colOff>304800</xdr:colOff>
      <xdr:row>36</xdr:row>
      <xdr:rowOff>85725</xdr:rowOff>
    </xdr:from>
    <xdr:to>
      <xdr:col>5</xdr:col>
      <xdr:colOff>114300</xdr:colOff>
      <xdr:row>37</xdr:row>
      <xdr:rowOff>171450</xdr:rowOff>
    </xdr:to>
    <xdr:sp macro="" textlink="">
      <xdr:nvSpPr>
        <xdr:cNvPr id="12" name="CaixaDeTexto 11">
          <a:extLst>
            <a:ext uri="{FF2B5EF4-FFF2-40B4-BE49-F238E27FC236}">
              <a16:creationId xmlns:a16="http://schemas.microsoft.com/office/drawing/2014/main" id="{00000000-0008-0000-1100-00000C000000}"/>
            </a:ext>
          </a:extLst>
        </xdr:cNvPr>
        <xdr:cNvSpPr txBox="1"/>
      </xdr:nvSpPr>
      <xdr:spPr>
        <a:xfrm>
          <a:off x="3438525" y="6962775"/>
          <a:ext cx="6572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t>Largura</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2143125</xdr:colOff>
      <xdr:row>0</xdr:row>
      <xdr:rowOff>66675</xdr:rowOff>
    </xdr:from>
    <xdr:to>
      <xdr:col>3</xdr:col>
      <xdr:colOff>126492</xdr:colOff>
      <xdr:row>0</xdr:row>
      <xdr:rowOff>569595</xdr:rowOff>
    </xdr:to>
    <xdr:pic>
      <xdr:nvPicPr>
        <xdr:cNvPr id="4" name="Imagem 3" descr="logo Funasa">
          <a:extLst>
            <a:ext uri="{FF2B5EF4-FFF2-40B4-BE49-F238E27FC236}">
              <a16:creationId xmlns:a16="http://schemas.microsoft.com/office/drawing/2014/main" id="{00000000-0008-0000-1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47975" y="66675"/>
          <a:ext cx="1936242" cy="50292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2143125</xdr:colOff>
      <xdr:row>0</xdr:row>
      <xdr:rowOff>66675</xdr:rowOff>
    </xdr:from>
    <xdr:to>
      <xdr:col>3</xdr:col>
      <xdr:colOff>126492</xdr:colOff>
      <xdr:row>0</xdr:row>
      <xdr:rowOff>569595</xdr:rowOff>
    </xdr:to>
    <xdr:pic>
      <xdr:nvPicPr>
        <xdr:cNvPr id="2" name="Imagem 1" descr="logo Funasa">
          <a:extLst>
            <a:ext uri="{FF2B5EF4-FFF2-40B4-BE49-F238E27FC236}">
              <a16:creationId xmlns:a16="http://schemas.microsoft.com/office/drawing/2014/main" id="{00000000-0008-0000-1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8475" y="66675"/>
          <a:ext cx="1936242" cy="50292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acir.antunes/Documents/ARQUIVOS%20DE%20TRABALHO/DOCS%20PESQUISA%20COALCULO/PLANILHA%20PARANA%20-%20MSD%20R112020%20-%20SINAPI%201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esumo"/>
      <sheetName val="2. Módulo"/>
      <sheetName val="2.1 Mod Mem Cál"/>
      <sheetName val="3. Elétrico"/>
      <sheetName val="4. Hidrosanit"/>
      <sheetName val="5. Cx de Inspeção"/>
      <sheetName val="6. Fossa - Cálculo"/>
      <sheetName val="6.A Fossa Séptica"/>
      <sheetName val="6A.1. Fossa Mem CÁL"/>
      <sheetName val="7. Sumidouro cálculo"/>
      <sheetName val="7A. Sumid. S. Argiloso."/>
      <sheetName val="7A.1 Sumid. Argil. Mem Cál"/>
      <sheetName val="7B. Sumid. S. Arenoso"/>
      <sheetName val="7B.1 Sumid. Aren. Mem Cál"/>
      <sheetName val="8. Cálculo Vala"/>
      <sheetName val="8A. Vala de Infilt. S. Argil."/>
      <sheetName val="8A.1 V. Infilt. Mem Cal Cp35"/>
      <sheetName val="8B. Vala de infilt. S. Aren."/>
      <sheetName val="8B.1 V. Infilt. Mem Cal Cp65"/>
      <sheetName val="9A Torre de Elevação - Tipo 1"/>
      <sheetName val="9A.1 Torre Tipo 1 Mem Calc"/>
      <sheetName val="9B Torre de Elevação - Tipo 2"/>
      <sheetName val="9B.1 Torre Tipo 2 Mem Calc"/>
      <sheetName val="10. Placa Obra"/>
      <sheetName val="11. Composições"/>
    </sheetNames>
    <sheetDataSet>
      <sheetData sheetId="0">
        <row r="8">
          <cell r="C8" t="str">
            <v>Curitiba Pr.</v>
          </cell>
          <cell r="D8"/>
          <cell r="E8"/>
          <cell r="F8"/>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Q139"/>
  <sheetViews>
    <sheetView topLeftCell="A13" workbookViewId="0">
      <selection activeCell="M15" sqref="M15"/>
    </sheetView>
  </sheetViews>
  <sheetFormatPr defaultRowHeight="12.75" x14ac:dyDescent="0.2"/>
  <cols>
    <col min="1" max="1" width="7.7109375" style="5" customWidth="1"/>
    <col min="2" max="2" width="6.7109375" style="5" customWidth="1"/>
    <col min="3" max="3" width="77.140625" style="5" customWidth="1"/>
    <col min="4" max="4" width="10.7109375" style="220" customWidth="1"/>
    <col min="5" max="5" width="10.7109375" style="286" customWidth="1"/>
    <col min="6" max="7" width="10.7109375" style="7" customWidth="1"/>
    <col min="8" max="8" width="12.7109375" style="220" customWidth="1"/>
    <col min="9" max="16384" width="9.140625" style="5"/>
  </cols>
  <sheetData>
    <row r="1" spans="1:17" ht="51.75" customHeight="1" x14ac:dyDescent="0.2">
      <c r="A1" s="811"/>
      <c r="B1" s="812"/>
      <c r="C1" s="812"/>
      <c r="D1" s="812"/>
      <c r="E1" s="812"/>
      <c r="F1" s="812"/>
      <c r="G1" s="812"/>
      <c r="H1" s="813"/>
    </row>
    <row r="2" spans="1:17" ht="17.100000000000001" customHeight="1" x14ac:dyDescent="0.2">
      <c r="A2" s="816" t="s">
        <v>872</v>
      </c>
      <c r="B2" s="817"/>
      <c r="C2" s="817"/>
      <c r="D2" s="817"/>
      <c r="E2" s="817"/>
      <c r="F2" s="817"/>
      <c r="G2" s="817"/>
      <c r="H2" s="818"/>
    </row>
    <row r="3" spans="1:17" ht="17.100000000000001" customHeight="1" x14ac:dyDescent="0.2">
      <c r="A3" s="816" t="s">
        <v>277</v>
      </c>
      <c r="B3" s="817"/>
      <c r="C3" s="815" t="e">
        <f>#REF!</f>
        <v>#REF!</v>
      </c>
      <c r="D3" s="815"/>
      <c r="E3" s="827" t="s">
        <v>339</v>
      </c>
      <c r="F3" s="827"/>
      <c r="G3" s="825" t="e">
        <f>#REF!</f>
        <v>#REF!</v>
      </c>
      <c r="H3" s="826"/>
    </row>
    <row r="4" spans="1:17" ht="17.100000000000001" customHeight="1" x14ac:dyDescent="0.2">
      <c r="A4" s="816" t="s">
        <v>333</v>
      </c>
      <c r="B4" s="817"/>
      <c r="C4" s="815" t="e">
        <f>#REF!</f>
        <v>#REF!</v>
      </c>
      <c r="D4" s="815"/>
      <c r="E4" s="827" t="s">
        <v>338</v>
      </c>
      <c r="F4" s="827"/>
      <c r="G4" s="817" t="e">
        <f>#REF!</f>
        <v>#REF!</v>
      </c>
      <c r="H4" s="818"/>
    </row>
    <row r="5" spans="1:17" ht="17.100000000000001" customHeight="1" x14ac:dyDescent="0.2">
      <c r="A5" s="819"/>
      <c r="B5" s="820"/>
      <c r="C5" s="820"/>
      <c r="D5" s="820"/>
      <c r="E5" s="820"/>
      <c r="F5" s="820"/>
      <c r="G5" s="820"/>
      <c r="H5" s="821"/>
    </row>
    <row r="6" spans="1:17" ht="17.100000000000001" customHeight="1" thickBot="1" x14ac:dyDescent="0.25">
      <c r="A6" s="822" t="s">
        <v>353</v>
      </c>
      <c r="B6" s="823"/>
      <c r="C6" s="823"/>
      <c r="D6" s="823"/>
      <c r="E6" s="823"/>
      <c r="F6" s="823"/>
      <c r="G6" s="823"/>
      <c r="H6" s="824"/>
    </row>
    <row r="7" spans="1:17" ht="39" customHeight="1" x14ac:dyDescent="0.2">
      <c r="A7" s="778" t="s">
        <v>0</v>
      </c>
      <c r="B7" s="797" t="s">
        <v>1</v>
      </c>
      <c r="C7" s="797"/>
      <c r="D7" s="763" t="s">
        <v>2</v>
      </c>
      <c r="E7" s="309" t="s">
        <v>47</v>
      </c>
      <c r="F7" s="370" t="s">
        <v>4</v>
      </c>
      <c r="G7" s="309" t="s">
        <v>5</v>
      </c>
      <c r="H7" s="779" t="s">
        <v>354</v>
      </c>
      <c r="K7" s="842" t="s">
        <v>909</v>
      </c>
      <c r="L7" s="843"/>
      <c r="M7" s="843"/>
      <c r="N7" s="843"/>
      <c r="O7" s="843"/>
      <c r="P7" s="843"/>
      <c r="Q7" s="844"/>
    </row>
    <row r="8" spans="1:17" ht="17.100000000000001" customHeight="1" thickBot="1" x14ac:dyDescent="0.25">
      <c r="A8" s="353"/>
      <c r="B8" s="798" t="s">
        <v>46</v>
      </c>
      <c r="C8" s="798"/>
      <c r="D8" s="222"/>
      <c r="E8" s="255"/>
      <c r="F8" s="273"/>
      <c r="G8" s="273"/>
      <c r="H8" s="263"/>
      <c r="K8" s="845"/>
      <c r="L8" s="846"/>
      <c r="M8" s="846"/>
      <c r="N8" s="846"/>
      <c r="O8" s="846"/>
      <c r="P8" s="846"/>
      <c r="Q8" s="847"/>
    </row>
    <row r="9" spans="1:17" ht="30" customHeight="1" x14ac:dyDescent="0.2">
      <c r="A9" s="353" t="s">
        <v>345</v>
      </c>
      <c r="B9" s="799" t="s">
        <v>373</v>
      </c>
      <c r="C9" s="799"/>
      <c r="D9" s="443" t="s">
        <v>33</v>
      </c>
      <c r="E9" s="616"/>
      <c r="F9" s="273"/>
      <c r="G9" s="271"/>
      <c r="H9" s="780"/>
    </row>
    <row r="10" spans="1:17" ht="17.100000000000001" customHeight="1" x14ac:dyDescent="0.2">
      <c r="A10" s="781"/>
      <c r="B10" s="800" t="s">
        <v>371</v>
      </c>
      <c r="C10" s="800"/>
      <c r="D10" s="443" t="s">
        <v>33</v>
      </c>
      <c r="E10" s="255">
        <v>0.55000000000000004</v>
      </c>
      <c r="F10" s="722">
        <v>2.02</v>
      </c>
      <c r="G10" s="273">
        <f t="shared" ref="G10:G13" si="0">ROUND(E10*F10,2)</f>
        <v>1.1100000000000001</v>
      </c>
      <c r="H10" s="224">
        <v>4517</v>
      </c>
    </row>
    <row r="11" spans="1:17" ht="17.100000000000001" customHeight="1" x14ac:dyDescent="0.2">
      <c r="A11" s="781"/>
      <c r="B11" s="800" t="s">
        <v>372</v>
      </c>
      <c r="C11" s="800"/>
      <c r="D11" s="443" t="s">
        <v>270</v>
      </c>
      <c r="E11" s="255">
        <v>0.04</v>
      </c>
      <c r="F11" s="722">
        <v>20.420000000000002</v>
      </c>
      <c r="G11" s="273">
        <f t="shared" si="0"/>
        <v>0.82</v>
      </c>
      <c r="H11" s="761">
        <v>5069</v>
      </c>
    </row>
    <row r="12" spans="1:17" ht="17.100000000000001" customHeight="1" x14ac:dyDescent="0.2">
      <c r="A12" s="221"/>
      <c r="B12" s="800" t="s">
        <v>370</v>
      </c>
      <c r="C12" s="800"/>
      <c r="D12" s="443" t="s">
        <v>48</v>
      </c>
      <c r="E12" s="255">
        <v>0.35</v>
      </c>
      <c r="F12" s="722">
        <v>20.81</v>
      </c>
      <c r="G12" s="273">
        <f t="shared" si="0"/>
        <v>7.28</v>
      </c>
      <c r="H12" s="761">
        <v>88239</v>
      </c>
    </row>
    <row r="13" spans="1:17" ht="17.100000000000001" customHeight="1" x14ac:dyDescent="0.2">
      <c r="A13" s="221"/>
      <c r="B13" s="800" t="s">
        <v>271</v>
      </c>
      <c r="C13" s="800"/>
      <c r="D13" s="443" t="s">
        <v>48</v>
      </c>
      <c r="E13" s="255">
        <v>0.72</v>
      </c>
      <c r="F13" s="722">
        <v>25.15</v>
      </c>
      <c r="G13" s="273">
        <f t="shared" si="0"/>
        <v>18.11</v>
      </c>
      <c r="H13" s="224">
        <v>88262</v>
      </c>
    </row>
    <row r="14" spans="1:17" ht="17.100000000000001" customHeight="1" x14ac:dyDescent="0.2">
      <c r="A14" s="781"/>
      <c r="B14" s="801" t="s">
        <v>51</v>
      </c>
      <c r="C14" s="801"/>
      <c r="D14" s="443"/>
      <c r="E14" s="255"/>
      <c r="F14" s="273"/>
      <c r="G14" s="442">
        <f>SUM(G10:G13)</f>
        <v>27.32</v>
      </c>
      <c r="H14" s="224"/>
    </row>
    <row r="15" spans="1:17" ht="39.75" customHeight="1" x14ac:dyDescent="0.2">
      <c r="A15" s="781"/>
      <c r="B15" s="814"/>
      <c r="C15" s="814"/>
      <c r="D15" s="443"/>
      <c r="E15" s="255"/>
      <c r="F15" s="273"/>
      <c r="G15" s="271"/>
      <c r="H15" s="224"/>
    </row>
    <row r="16" spans="1:17" ht="30" customHeight="1" x14ac:dyDescent="0.2">
      <c r="A16" s="353" t="s">
        <v>346</v>
      </c>
      <c r="B16" s="799" t="s">
        <v>397</v>
      </c>
      <c r="C16" s="799"/>
      <c r="D16" s="443" t="s">
        <v>7</v>
      </c>
      <c r="E16" s="616"/>
      <c r="F16" s="273"/>
      <c r="G16" s="271"/>
      <c r="H16" s="780"/>
    </row>
    <row r="17" spans="1:9" ht="17.100000000000001" customHeight="1" x14ac:dyDescent="0.2">
      <c r="A17" s="221"/>
      <c r="B17" s="800" t="s">
        <v>49</v>
      </c>
      <c r="C17" s="800"/>
      <c r="D17" s="443" t="s">
        <v>48</v>
      </c>
      <c r="E17" s="255">
        <v>0.15</v>
      </c>
      <c r="F17" s="722">
        <v>19.78</v>
      </c>
      <c r="G17" s="273">
        <f t="shared" ref="G17:G22" si="1">ROUND(E17*F17,2)</f>
        <v>2.97</v>
      </c>
      <c r="H17" s="224">
        <v>88316</v>
      </c>
    </row>
    <row r="18" spans="1:9" ht="17.100000000000001" customHeight="1" x14ac:dyDescent="0.2">
      <c r="A18" s="221"/>
      <c r="B18" s="800" t="s">
        <v>54</v>
      </c>
      <c r="C18" s="800"/>
      <c r="D18" s="443" t="s">
        <v>48</v>
      </c>
      <c r="E18" s="255">
        <v>0.11</v>
      </c>
      <c r="F18" s="722">
        <v>24.93</v>
      </c>
      <c r="G18" s="273">
        <f t="shared" si="1"/>
        <v>2.74</v>
      </c>
      <c r="H18" s="224">
        <v>88323</v>
      </c>
    </row>
    <row r="19" spans="1:9" ht="30" customHeight="1" x14ac:dyDescent="0.2">
      <c r="A19" s="781"/>
      <c r="B19" s="800" t="s">
        <v>55</v>
      </c>
      <c r="C19" s="800"/>
      <c r="D19" s="443" t="s">
        <v>53</v>
      </c>
      <c r="E19" s="255">
        <v>1</v>
      </c>
      <c r="F19" s="722">
        <v>0.2</v>
      </c>
      <c r="G19" s="273">
        <f t="shared" si="1"/>
        <v>0.2</v>
      </c>
      <c r="H19" s="224" t="s">
        <v>356</v>
      </c>
    </row>
    <row r="20" spans="1:9" ht="30" customHeight="1" x14ac:dyDescent="0.2">
      <c r="A20" s="781"/>
      <c r="B20" s="800" t="s">
        <v>56</v>
      </c>
      <c r="C20" s="800"/>
      <c r="D20" s="389" t="s">
        <v>343</v>
      </c>
      <c r="E20" s="255">
        <v>1</v>
      </c>
      <c r="F20" s="722">
        <v>1.08</v>
      </c>
      <c r="G20" s="273">
        <f t="shared" si="1"/>
        <v>1.08</v>
      </c>
      <c r="H20" s="224" t="s">
        <v>357</v>
      </c>
    </row>
    <row r="21" spans="1:9" ht="17.100000000000001" customHeight="1" x14ac:dyDescent="0.2">
      <c r="A21" s="781"/>
      <c r="B21" s="800" t="s">
        <v>57</v>
      </c>
      <c r="C21" s="800"/>
      <c r="D21" s="443" t="s">
        <v>7</v>
      </c>
      <c r="E21" s="255">
        <v>1</v>
      </c>
      <c r="F21" s="722">
        <v>28.05</v>
      </c>
      <c r="G21" s="273">
        <f t="shared" si="1"/>
        <v>28.05</v>
      </c>
      <c r="H21" s="224" t="s">
        <v>358</v>
      </c>
    </row>
    <row r="22" spans="1:9" ht="17.100000000000001" customHeight="1" x14ac:dyDescent="0.2">
      <c r="A22" s="781"/>
      <c r="B22" s="800" t="s">
        <v>381</v>
      </c>
      <c r="C22" s="800"/>
      <c r="D22" s="257" t="s">
        <v>316</v>
      </c>
      <c r="E22" s="255">
        <v>1</v>
      </c>
      <c r="F22" s="722">
        <v>4.07</v>
      </c>
      <c r="G22" s="273">
        <f t="shared" si="1"/>
        <v>4.07</v>
      </c>
      <c r="H22" s="224" t="s">
        <v>382</v>
      </c>
    </row>
    <row r="23" spans="1:9" ht="17.100000000000001" customHeight="1" x14ac:dyDescent="0.2">
      <c r="A23" s="781"/>
      <c r="B23" s="801" t="s">
        <v>51</v>
      </c>
      <c r="C23" s="801"/>
      <c r="D23" s="443"/>
      <c r="E23" s="255"/>
      <c r="F23" s="273"/>
      <c r="G23" s="442">
        <f>G21+G20+G19+G18+G17+G22</f>
        <v>39.11</v>
      </c>
      <c r="H23" s="224"/>
    </row>
    <row r="24" spans="1:9" ht="17.100000000000001" customHeight="1" x14ac:dyDescent="0.2">
      <c r="A24" s="781"/>
      <c r="B24" s="814"/>
      <c r="C24" s="814"/>
      <c r="D24" s="443"/>
      <c r="E24" s="255"/>
      <c r="F24" s="273"/>
      <c r="G24" s="271"/>
      <c r="H24" s="224"/>
    </row>
    <row r="25" spans="1:9" ht="25.5" customHeight="1" x14ac:dyDescent="0.2">
      <c r="A25" s="353" t="s">
        <v>347</v>
      </c>
      <c r="B25" s="799" t="s">
        <v>385</v>
      </c>
      <c r="C25" s="799"/>
      <c r="D25" s="389" t="s">
        <v>35</v>
      </c>
      <c r="E25" s="616"/>
      <c r="F25" s="273"/>
      <c r="G25" s="271"/>
      <c r="H25" s="780"/>
    </row>
    <row r="26" spans="1:9" ht="17.100000000000001" customHeight="1" x14ac:dyDescent="0.2">
      <c r="A26" s="781"/>
      <c r="B26" s="807" t="s">
        <v>386</v>
      </c>
      <c r="C26" s="807"/>
      <c r="D26" s="443" t="s">
        <v>35</v>
      </c>
      <c r="E26" s="255">
        <v>1</v>
      </c>
      <c r="F26" s="722">
        <v>227.44</v>
      </c>
      <c r="G26" s="273">
        <f>E26*F26</f>
        <v>227.44</v>
      </c>
      <c r="H26" s="224">
        <v>10492</v>
      </c>
    </row>
    <row r="27" spans="1:9" ht="17.100000000000001" customHeight="1" x14ac:dyDescent="0.2">
      <c r="A27" s="781"/>
      <c r="B27" s="613" t="s">
        <v>378</v>
      </c>
      <c r="C27" s="613"/>
      <c r="D27" s="443" t="s">
        <v>48</v>
      </c>
      <c r="E27" s="255">
        <v>0.62</v>
      </c>
      <c r="F27" s="722">
        <v>19.78</v>
      </c>
      <c r="G27" s="273">
        <f>E27*F27</f>
        <v>12.2636</v>
      </c>
      <c r="H27" s="224">
        <v>88316</v>
      </c>
    </row>
    <row r="28" spans="1:9" ht="17.100000000000001" customHeight="1" x14ac:dyDescent="0.2">
      <c r="A28" s="781"/>
      <c r="B28" s="800" t="s">
        <v>376</v>
      </c>
      <c r="C28" s="800"/>
      <c r="D28" s="443" t="s">
        <v>48</v>
      </c>
      <c r="E28" s="255">
        <v>0.64</v>
      </c>
      <c r="F28" s="722">
        <v>25.6</v>
      </c>
      <c r="G28" s="273">
        <f>E28*F28</f>
        <v>16.384</v>
      </c>
      <c r="H28" s="224">
        <v>88325</v>
      </c>
    </row>
    <row r="29" spans="1:9" ht="15.75" customHeight="1" x14ac:dyDescent="0.2">
      <c r="A29" s="250"/>
      <c r="B29" s="807" t="s">
        <v>377</v>
      </c>
      <c r="C29" s="807"/>
      <c r="D29" s="389" t="s">
        <v>270</v>
      </c>
      <c r="E29" s="255">
        <v>1</v>
      </c>
      <c r="F29" s="734">
        <v>11.86</v>
      </c>
      <c r="G29" s="273">
        <f>E29*F29</f>
        <v>11.86</v>
      </c>
      <c r="H29" s="754">
        <v>10498</v>
      </c>
      <c r="I29" s="213"/>
    </row>
    <row r="30" spans="1:9" ht="17.100000000000001" customHeight="1" x14ac:dyDescent="0.2">
      <c r="A30" s="781"/>
      <c r="B30" s="801" t="s">
        <v>51</v>
      </c>
      <c r="C30" s="801"/>
      <c r="D30" s="443"/>
      <c r="E30" s="255"/>
      <c r="F30" s="273"/>
      <c r="G30" s="271">
        <f>G26+G28+G29</f>
        <v>255.68400000000003</v>
      </c>
      <c r="H30" s="224"/>
    </row>
    <row r="31" spans="1:9" ht="17.100000000000001" customHeight="1" x14ac:dyDescent="0.2">
      <c r="A31" s="781"/>
      <c r="B31" s="814"/>
      <c r="C31" s="814"/>
      <c r="D31" s="443"/>
      <c r="E31" s="255"/>
      <c r="F31" s="273"/>
      <c r="G31" s="271"/>
      <c r="H31" s="224"/>
    </row>
    <row r="32" spans="1:9" ht="30" customHeight="1" x14ac:dyDescent="0.2">
      <c r="A32" s="353" t="s">
        <v>348</v>
      </c>
      <c r="B32" s="815" t="s">
        <v>329</v>
      </c>
      <c r="C32" s="815"/>
      <c r="D32" s="389" t="s">
        <v>343</v>
      </c>
      <c r="E32" s="616"/>
      <c r="F32" s="273"/>
      <c r="G32" s="271"/>
      <c r="H32" s="224"/>
    </row>
    <row r="33" spans="1:12" ht="17.100000000000001" customHeight="1" x14ac:dyDescent="0.2">
      <c r="A33" s="781"/>
      <c r="B33" s="807" t="s">
        <v>50</v>
      </c>
      <c r="C33" s="807"/>
      <c r="D33" s="443" t="s">
        <v>48</v>
      </c>
      <c r="E33" s="255">
        <v>0.35</v>
      </c>
      <c r="F33" s="722">
        <v>25.41</v>
      </c>
      <c r="G33" s="273">
        <f>E33*F33</f>
        <v>8.8934999999999995</v>
      </c>
      <c r="H33" s="224">
        <v>88309</v>
      </c>
    </row>
    <row r="34" spans="1:12" ht="17.100000000000001" customHeight="1" x14ac:dyDescent="0.2">
      <c r="A34" s="781"/>
      <c r="B34" s="800" t="s">
        <v>49</v>
      </c>
      <c r="C34" s="800"/>
      <c r="D34" s="443" t="s">
        <v>48</v>
      </c>
      <c r="E34" s="255">
        <v>0.17</v>
      </c>
      <c r="F34" s="722">
        <v>19.78</v>
      </c>
      <c r="G34" s="273">
        <f>E34*F34</f>
        <v>3.3626000000000005</v>
      </c>
      <c r="H34" s="782">
        <v>88316</v>
      </c>
    </row>
    <row r="35" spans="1:12" x14ac:dyDescent="0.2">
      <c r="A35" s="250"/>
      <c r="B35" s="800" t="s">
        <v>759</v>
      </c>
      <c r="C35" s="800"/>
      <c r="D35" s="389" t="s">
        <v>343</v>
      </c>
      <c r="E35" s="255">
        <v>1</v>
      </c>
      <c r="F35" s="271">
        <v>469</v>
      </c>
      <c r="G35" s="273">
        <f>E35*F35</f>
        <v>469</v>
      </c>
      <c r="H35" s="694" t="s">
        <v>327</v>
      </c>
    </row>
    <row r="36" spans="1:12" ht="17.100000000000001" customHeight="1" x14ac:dyDescent="0.2">
      <c r="A36" s="781"/>
      <c r="B36" s="801" t="s">
        <v>51</v>
      </c>
      <c r="C36" s="801"/>
      <c r="D36" s="443"/>
      <c r="E36" s="255"/>
      <c r="F36" s="273"/>
      <c r="G36" s="271">
        <f>SUM(G33:G35)</f>
        <v>481.2561</v>
      </c>
      <c r="H36" s="224"/>
    </row>
    <row r="37" spans="1:12" ht="17.100000000000001" customHeight="1" x14ac:dyDescent="0.2">
      <c r="A37" s="781"/>
      <c r="B37" s="814"/>
      <c r="C37" s="814"/>
      <c r="D37" s="443"/>
      <c r="E37" s="255"/>
      <c r="F37" s="273"/>
      <c r="G37" s="271"/>
      <c r="H37" s="224"/>
    </row>
    <row r="38" spans="1:12" s="213" customFormat="1" ht="17.100000000000001" customHeight="1" x14ac:dyDescent="0.2">
      <c r="A38" s="250"/>
      <c r="B38" s="800"/>
      <c r="C38" s="800"/>
      <c r="D38" s="258"/>
      <c r="E38" s="222"/>
      <c r="F38" s="261"/>
      <c r="G38" s="261"/>
      <c r="H38" s="263"/>
    </row>
    <row r="39" spans="1:12" s="213" customFormat="1" ht="32.25" customHeight="1" x14ac:dyDescent="0.2">
      <c r="A39" s="353" t="s">
        <v>349</v>
      </c>
      <c r="B39" s="799" t="s">
        <v>326</v>
      </c>
      <c r="C39" s="799"/>
      <c r="D39" s="389" t="s">
        <v>343</v>
      </c>
      <c r="E39" s="616">
        <f>G45</f>
        <v>320.54000000000002</v>
      </c>
      <c r="F39" s="273"/>
      <c r="G39" s="273"/>
      <c r="H39" s="263"/>
    </row>
    <row r="40" spans="1:12" s="213" customFormat="1" ht="28.5" customHeight="1" x14ac:dyDescent="0.2">
      <c r="A40" s="250"/>
      <c r="B40" s="800" t="s">
        <v>403</v>
      </c>
      <c r="C40" s="800"/>
      <c r="D40" s="389" t="s">
        <v>343</v>
      </c>
      <c r="E40" s="255">
        <v>1</v>
      </c>
      <c r="F40" s="271">
        <v>260</v>
      </c>
      <c r="G40" s="273">
        <f>E40*F40</f>
        <v>260</v>
      </c>
      <c r="H40" s="694" t="s">
        <v>327</v>
      </c>
    </row>
    <row r="41" spans="1:12" s="213" customFormat="1" ht="17.100000000000001" customHeight="1" x14ac:dyDescent="0.2">
      <c r="A41" s="250"/>
      <c r="B41" s="800" t="s">
        <v>402</v>
      </c>
      <c r="C41" s="800"/>
      <c r="D41" s="389" t="s">
        <v>343</v>
      </c>
      <c r="E41" s="255">
        <v>1</v>
      </c>
      <c r="F41" s="722">
        <v>7.04</v>
      </c>
      <c r="G41" s="273">
        <f>E41*F41</f>
        <v>7.04</v>
      </c>
      <c r="H41" s="251">
        <v>86879</v>
      </c>
    </row>
    <row r="42" spans="1:12" s="213" customFormat="1" ht="17.100000000000001" customHeight="1" x14ac:dyDescent="0.2">
      <c r="A42" s="250"/>
      <c r="B42" s="800" t="s">
        <v>401</v>
      </c>
      <c r="C42" s="800"/>
      <c r="D42" s="389" t="s">
        <v>343</v>
      </c>
      <c r="E42" s="255">
        <v>1</v>
      </c>
      <c r="F42" s="722">
        <v>11.27</v>
      </c>
      <c r="G42" s="273">
        <f>E42*F42</f>
        <v>11.27</v>
      </c>
      <c r="H42" s="251">
        <v>86883</v>
      </c>
    </row>
    <row r="43" spans="1:12" s="213" customFormat="1" ht="25.5" customHeight="1" x14ac:dyDescent="0.2">
      <c r="A43" s="783"/>
      <c r="B43" s="831" t="s">
        <v>404</v>
      </c>
      <c r="C43" s="831"/>
      <c r="D43" s="389" t="s">
        <v>343</v>
      </c>
      <c r="E43" s="255">
        <v>1</v>
      </c>
      <c r="F43" s="722">
        <v>42.23</v>
      </c>
      <c r="G43" s="273">
        <f t="shared" ref="G43" si="2">E43*F43</f>
        <v>42.23</v>
      </c>
      <c r="H43" s="251">
        <v>86913</v>
      </c>
    </row>
    <row r="44" spans="1:12" s="213" customFormat="1" x14ac:dyDescent="0.2">
      <c r="A44" s="250"/>
      <c r="B44" s="832"/>
      <c r="C44" s="832"/>
      <c r="D44" s="389"/>
      <c r="E44" s="255"/>
      <c r="F44" s="273"/>
      <c r="G44" s="273"/>
      <c r="H44" s="251"/>
    </row>
    <row r="45" spans="1:12" s="213" customFormat="1" ht="17.100000000000001" customHeight="1" x14ac:dyDescent="0.2">
      <c r="A45" s="250"/>
      <c r="B45" s="801" t="s">
        <v>51</v>
      </c>
      <c r="C45" s="801"/>
      <c r="D45" s="222"/>
      <c r="E45" s="255"/>
      <c r="F45" s="273"/>
      <c r="G45" s="271">
        <f>G40+G41+G42+G43</f>
        <v>320.54000000000002</v>
      </c>
      <c r="H45" s="263"/>
    </row>
    <row r="46" spans="1:12" s="213" customFormat="1" ht="17.25" customHeight="1" x14ac:dyDescent="0.2">
      <c r="A46" s="250"/>
      <c r="B46" s="805"/>
      <c r="C46" s="805"/>
      <c r="D46" s="222"/>
      <c r="E46" s="255"/>
      <c r="F46" s="273"/>
      <c r="G46" s="271"/>
      <c r="H46" s="263"/>
    </row>
    <row r="47" spans="1:12" ht="30" hidden="1" customHeight="1" x14ac:dyDescent="0.2">
      <c r="A47" s="784" t="s">
        <v>747</v>
      </c>
      <c r="B47" s="829" t="s">
        <v>796</v>
      </c>
      <c r="C47" s="829"/>
      <c r="D47" s="443"/>
      <c r="E47" s="255"/>
      <c r="F47" s="273"/>
      <c r="G47" s="271"/>
      <c r="H47" s="224"/>
    </row>
    <row r="48" spans="1:12" ht="58.5" hidden="1" customHeight="1" x14ac:dyDescent="0.2">
      <c r="A48" s="785" t="s">
        <v>350</v>
      </c>
      <c r="B48" s="833" t="s">
        <v>408</v>
      </c>
      <c r="C48" s="833"/>
      <c r="D48" s="720" t="s">
        <v>343</v>
      </c>
      <c r="E48" s="848" t="s">
        <v>863</v>
      </c>
      <c r="F48" s="848"/>
      <c r="G48" s="848"/>
      <c r="H48" s="849"/>
      <c r="I48" s="429"/>
      <c r="J48" s="430"/>
      <c r="K48" s="430"/>
      <c r="L48" s="431"/>
    </row>
    <row r="49" spans="1:8" ht="17.100000000000001" hidden="1" customHeight="1" x14ac:dyDescent="0.2">
      <c r="A49" s="786"/>
      <c r="B49" s="834" t="s">
        <v>405</v>
      </c>
      <c r="C49" s="834"/>
      <c r="D49" s="719" t="s">
        <v>866</v>
      </c>
      <c r="E49" s="721">
        <v>0.25</v>
      </c>
      <c r="F49" s="722">
        <v>78.239999999999995</v>
      </c>
      <c r="G49" s="722">
        <f t="shared" ref="G49:G55" si="3">E49*F49</f>
        <v>19.559999999999999</v>
      </c>
      <c r="H49" s="769">
        <v>93358</v>
      </c>
    </row>
    <row r="50" spans="1:8" ht="25.5" hidden="1" customHeight="1" x14ac:dyDescent="0.2">
      <c r="A50" s="786"/>
      <c r="B50" s="828" t="s">
        <v>364</v>
      </c>
      <c r="C50" s="828"/>
      <c r="D50" s="723" t="s">
        <v>10</v>
      </c>
      <c r="E50" s="721">
        <v>2.3E-2</v>
      </c>
      <c r="F50" s="724">
        <v>318.05</v>
      </c>
      <c r="G50" s="722">
        <f t="shared" si="3"/>
        <v>7.31515</v>
      </c>
      <c r="H50" s="787">
        <v>94963</v>
      </c>
    </row>
    <row r="51" spans="1:8" ht="17.100000000000001" hidden="1" customHeight="1" x14ac:dyDescent="0.2">
      <c r="A51" s="786"/>
      <c r="B51" s="834" t="s">
        <v>331</v>
      </c>
      <c r="C51" s="834"/>
      <c r="D51" s="720" t="s">
        <v>343</v>
      </c>
      <c r="E51" s="721">
        <v>80</v>
      </c>
      <c r="F51" s="722">
        <v>0.72</v>
      </c>
      <c r="G51" s="722">
        <f t="shared" si="3"/>
        <v>57.599999999999994</v>
      </c>
      <c r="H51" s="769" t="s">
        <v>355</v>
      </c>
    </row>
    <row r="52" spans="1:8" ht="17.100000000000001" hidden="1" customHeight="1" x14ac:dyDescent="0.2">
      <c r="A52" s="786"/>
      <c r="B52" s="834" t="s">
        <v>274</v>
      </c>
      <c r="C52" s="834"/>
      <c r="D52" s="719" t="s">
        <v>270</v>
      </c>
      <c r="E52" s="721">
        <v>0.8</v>
      </c>
      <c r="F52" s="722">
        <v>0.57999999999999996</v>
      </c>
      <c r="G52" s="722">
        <f t="shared" si="3"/>
        <v>0.46399999999999997</v>
      </c>
      <c r="H52" s="769" t="s">
        <v>328</v>
      </c>
    </row>
    <row r="53" spans="1:8" ht="31.5" hidden="1" customHeight="1" x14ac:dyDescent="0.2">
      <c r="A53" s="786"/>
      <c r="B53" s="834" t="s">
        <v>407</v>
      </c>
      <c r="C53" s="834"/>
      <c r="D53" s="719" t="s">
        <v>866</v>
      </c>
      <c r="E53" s="721">
        <v>2.3E-2</v>
      </c>
      <c r="F53" s="722">
        <v>378.64</v>
      </c>
      <c r="G53" s="722">
        <f t="shared" si="3"/>
        <v>8.7087199999999996</v>
      </c>
      <c r="H53" s="769">
        <v>87335</v>
      </c>
    </row>
    <row r="54" spans="1:8" ht="30" hidden="1" customHeight="1" x14ac:dyDescent="0.2">
      <c r="A54" s="788"/>
      <c r="B54" s="834" t="s">
        <v>406</v>
      </c>
      <c r="C54" s="834"/>
      <c r="D54" s="719" t="s">
        <v>866</v>
      </c>
      <c r="E54" s="721">
        <v>1.6500000000000001E-2</v>
      </c>
      <c r="F54" s="722">
        <v>465.01</v>
      </c>
      <c r="G54" s="722">
        <f t="shared" si="3"/>
        <v>7.6726650000000003</v>
      </c>
      <c r="H54" s="769">
        <v>88630</v>
      </c>
    </row>
    <row r="55" spans="1:8" ht="25.5" hidden="1" customHeight="1" x14ac:dyDescent="0.2">
      <c r="A55" s="786"/>
      <c r="B55" s="836" t="s">
        <v>410</v>
      </c>
      <c r="C55" s="836"/>
      <c r="D55" s="719" t="s">
        <v>866</v>
      </c>
      <c r="E55" s="721">
        <v>3.6999999999999998E-2</v>
      </c>
      <c r="F55" s="722">
        <v>2246.14</v>
      </c>
      <c r="G55" s="722">
        <f t="shared" si="3"/>
        <v>83.107179999999985</v>
      </c>
      <c r="H55" s="769">
        <v>97735</v>
      </c>
    </row>
    <row r="56" spans="1:8" ht="17.100000000000001" hidden="1" customHeight="1" x14ac:dyDescent="0.2">
      <c r="A56" s="786"/>
      <c r="B56" s="835" t="s">
        <v>50</v>
      </c>
      <c r="C56" s="835"/>
      <c r="D56" s="719" t="s">
        <v>48</v>
      </c>
      <c r="E56" s="721">
        <v>1.9</v>
      </c>
      <c r="F56" s="722">
        <v>25.41</v>
      </c>
      <c r="G56" s="722">
        <f t="shared" ref="G56:G57" si="4">E56*F56</f>
        <v>48.278999999999996</v>
      </c>
      <c r="H56" s="769">
        <v>88309</v>
      </c>
    </row>
    <row r="57" spans="1:8" ht="17.100000000000001" hidden="1" customHeight="1" x14ac:dyDescent="0.2">
      <c r="A57" s="786"/>
      <c r="B57" s="836" t="s">
        <v>49</v>
      </c>
      <c r="C57" s="836"/>
      <c r="D57" s="719" t="s">
        <v>48</v>
      </c>
      <c r="E57" s="721">
        <v>1.65</v>
      </c>
      <c r="F57" s="722">
        <v>19.78</v>
      </c>
      <c r="G57" s="722">
        <f t="shared" si="4"/>
        <v>32.637</v>
      </c>
      <c r="H57" s="769">
        <v>88316</v>
      </c>
    </row>
    <row r="58" spans="1:8" ht="17.100000000000001" hidden="1" customHeight="1" x14ac:dyDescent="0.2">
      <c r="A58" s="786"/>
      <c r="B58" s="850"/>
      <c r="C58" s="850"/>
      <c r="D58" s="719"/>
      <c r="E58" s="721"/>
      <c r="F58" s="722"/>
      <c r="G58" s="722"/>
      <c r="H58" s="769"/>
    </row>
    <row r="59" spans="1:8" ht="17.100000000000001" hidden="1" customHeight="1" x14ac:dyDescent="0.2">
      <c r="A59" s="786"/>
      <c r="B59" s="837" t="s">
        <v>51</v>
      </c>
      <c r="C59" s="837"/>
      <c r="D59" s="719"/>
      <c r="E59" s="721"/>
      <c r="F59" s="722"/>
      <c r="G59" s="725">
        <f ca="1">SUM(G51:G59)</f>
        <v>238.46856499999996</v>
      </c>
      <c r="H59" s="769"/>
    </row>
    <row r="60" spans="1:8" ht="17.100000000000001" customHeight="1" x14ac:dyDescent="0.2">
      <c r="A60" s="784"/>
      <c r="B60" s="798"/>
      <c r="C60" s="798"/>
      <c r="D60" s="443"/>
      <c r="E60" s="255"/>
      <c r="F60" s="273"/>
      <c r="G60" s="271"/>
      <c r="H60" s="263"/>
    </row>
    <row r="61" spans="1:8" ht="51.75" customHeight="1" x14ac:dyDescent="0.2">
      <c r="A61" s="353" t="s">
        <v>350</v>
      </c>
      <c r="B61" s="851" t="s">
        <v>862</v>
      </c>
      <c r="C61" s="851"/>
      <c r="D61" s="389" t="s">
        <v>343</v>
      </c>
      <c r="E61" s="616"/>
      <c r="F61" s="273"/>
      <c r="G61" s="271"/>
      <c r="H61" s="780"/>
    </row>
    <row r="62" spans="1:8" ht="14.25" x14ac:dyDescent="0.2">
      <c r="A62" s="781" t="s">
        <v>6</v>
      </c>
      <c r="B62" s="852" t="s">
        <v>405</v>
      </c>
      <c r="C62" s="852"/>
      <c r="D62" s="443" t="s">
        <v>52</v>
      </c>
      <c r="E62" s="255">
        <f>'5A. CX. de insp. Mem. Calc.'!D6</f>
        <v>0.47238399999999997</v>
      </c>
      <c r="F62" s="722">
        <v>78.239999999999995</v>
      </c>
      <c r="G62" s="273">
        <f>E62*F62</f>
        <v>36.959324159999994</v>
      </c>
      <c r="H62" s="263">
        <v>93358</v>
      </c>
    </row>
    <row r="63" spans="1:8" ht="33" customHeight="1" x14ac:dyDescent="0.2">
      <c r="A63" s="781" t="s">
        <v>8</v>
      </c>
      <c r="B63" s="853" t="s">
        <v>657</v>
      </c>
      <c r="C63" s="854"/>
      <c r="D63" s="443" t="s">
        <v>52</v>
      </c>
      <c r="E63" s="255">
        <v>0.04</v>
      </c>
      <c r="F63" s="722">
        <v>213.38</v>
      </c>
      <c r="G63" s="273">
        <f>E63*F63</f>
        <v>8.5351999999999997</v>
      </c>
      <c r="H63" s="769">
        <v>101619</v>
      </c>
    </row>
    <row r="64" spans="1:8" ht="26.25" customHeight="1" x14ac:dyDescent="0.2">
      <c r="A64" s="781" t="s">
        <v>23</v>
      </c>
      <c r="B64" s="855" t="s">
        <v>865</v>
      </c>
      <c r="C64" s="855"/>
      <c r="D64" s="762" t="s">
        <v>10</v>
      </c>
      <c r="E64" s="255">
        <v>0.04</v>
      </c>
      <c r="F64" s="724">
        <v>394.04</v>
      </c>
      <c r="G64" s="273">
        <f t="shared" ref="G64" si="5">E64*F64</f>
        <v>15.761600000000001</v>
      </c>
      <c r="H64" s="787">
        <v>94975</v>
      </c>
    </row>
    <row r="65" spans="1:12" s="215" customFormat="1" ht="41.25" customHeight="1" x14ac:dyDescent="0.2">
      <c r="A65" s="781" t="s">
        <v>24</v>
      </c>
      <c r="B65" s="856" t="s">
        <v>879</v>
      </c>
      <c r="C65" s="856"/>
      <c r="D65" s="443" t="s">
        <v>845</v>
      </c>
      <c r="E65" s="255">
        <f>'5A. CX. de insp. Mem. Calc.'!D36</f>
        <v>0.92459999999999998</v>
      </c>
      <c r="F65" s="733">
        <v>112.45</v>
      </c>
      <c r="G65" s="441">
        <f>E65*F65</f>
        <v>103.97127</v>
      </c>
      <c r="H65" s="770">
        <v>103333</v>
      </c>
    </row>
    <row r="66" spans="1:12" ht="41.25" customHeight="1" x14ac:dyDescent="0.2">
      <c r="A66" s="781" t="s">
        <v>25</v>
      </c>
      <c r="B66" s="800" t="s">
        <v>878</v>
      </c>
      <c r="C66" s="800"/>
      <c r="D66" s="443" t="s">
        <v>845</v>
      </c>
      <c r="E66" s="255">
        <v>0.43</v>
      </c>
      <c r="F66" s="722">
        <v>135.05000000000001</v>
      </c>
      <c r="G66" s="273">
        <f>E66*F66</f>
        <v>58.071500000000007</v>
      </c>
      <c r="H66" s="761">
        <v>103334</v>
      </c>
    </row>
    <row r="67" spans="1:12" ht="27.75" customHeight="1" x14ac:dyDescent="0.2">
      <c r="A67" s="781" t="s">
        <v>26</v>
      </c>
      <c r="B67" s="800" t="s">
        <v>875</v>
      </c>
      <c r="C67" s="800"/>
      <c r="D67" s="443" t="s">
        <v>845</v>
      </c>
      <c r="E67" s="255">
        <f>'5A. CX. de insp. Mem. Calc.'!D48</f>
        <v>3.5588000000000002</v>
      </c>
      <c r="F67" s="722">
        <v>4.24</v>
      </c>
      <c r="G67" s="273">
        <f>E67*F67</f>
        <v>15.089312000000001</v>
      </c>
      <c r="H67" s="263">
        <v>87878</v>
      </c>
    </row>
    <row r="68" spans="1:12" ht="43.5" customHeight="1" x14ac:dyDescent="0.2">
      <c r="A68" s="781" t="s">
        <v>27</v>
      </c>
      <c r="B68" s="800" t="s">
        <v>876</v>
      </c>
      <c r="C68" s="800"/>
      <c r="D68" s="443" t="s">
        <v>845</v>
      </c>
      <c r="E68" s="255">
        <f>'5A. CX. de insp. Mem. Calc.'!D64</f>
        <v>3.9146800000000006</v>
      </c>
      <c r="F68" s="733">
        <v>35.28</v>
      </c>
      <c r="G68" s="273">
        <f>E68*F68</f>
        <v>138.10991040000002</v>
      </c>
      <c r="H68" s="771">
        <v>87530</v>
      </c>
    </row>
    <row r="69" spans="1:12" ht="33" customHeight="1" x14ac:dyDescent="0.2">
      <c r="A69" s="781" t="s">
        <v>34</v>
      </c>
      <c r="B69" s="800" t="s">
        <v>877</v>
      </c>
      <c r="C69" s="800"/>
      <c r="D69" s="443" t="s">
        <v>52</v>
      </c>
      <c r="E69" s="255">
        <v>0.04</v>
      </c>
      <c r="F69" s="722">
        <v>2252.83</v>
      </c>
      <c r="G69" s="273">
        <f t="shared" ref="G69" si="6">E69*F69</f>
        <v>90.113199999999992</v>
      </c>
      <c r="H69" s="263">
        <v>97735</v>
      </c>
    </row>
    <row r="70" spans="1:12" ht="17.100000000000001" customHeight="1" x14ac:dyDescent="0.2">
      <c r="A70" s="784"/>
      <c r="B70" s="802"/>
      <c r="C70" s="802"/>
      <c r="D70" s="233"/>
      <c r="E70" s="233"/>
      <c r="F70" s="233"/>
      <c r="G70" s="637"/>
      <c r="H70" s="662"/>
    </row>
    <row r="71" spans="1:12" ht="17.100000000000001" customHeight="1" x14ac:dyDescent="0.2">
      <c r="A71" s="784"/>
      <c r="B71" s="801" t="s">
        <v>21</v>
      </c>
      <c r="C71" s="801"/>
      <c r="D71" s="443"/>
      <c r="E71" s="255"/>
      <c r="F71" s="273"/>
      <c r="G71" s="271">
        <f>SUM(G62:G70)</f>
        <v>466.61131656000009</v>
      </c>
      <c r="H71" s="263"/>
    </row>
    <row r="72" spans="1:12" s="157" customFormat="1" ht="15" customHeight="1" x14ac:dyDescent="0.2">
      <c r="A72" s="789"/>
      <c r="B72" s="806"/>
      <c r="C72" s="806"/>
      <c r="D72" s="756"/>
      <c r="E72" s="584"/>
      <c r="F72" s="279"/>
      <c r="G72" s="279"/>
      <c r="H72" s="790"/>
      <c r="I72" s="5"/>
      <c r="J72" s="5"/>
      <c r="K72" s="5"/>
      <c r="L72" s="5"/>
    </row>
    <row r="73" spans="1:12" s="157" customFormat="1" ht="28.5" customHeight="1" x14ac:dyDescent="0.2">
      <c r="A73" s="253" t="s">
        <v>556</v>
      </c>
      <c r="B73" s="799" t="s">
        <v>660</v>
      </c>
      <c r="C73" s="799"/>
      <c r="D73" s="443" t="s">
        <v>7</v>
      </c>
      <c r="E73" s="756"/>
      <c r="F73" s="583"/>
      <c r="G73" s="583"/>
      <c r="H73" s="791"/>
    </row>
    <row r="74" spans="1:12" s="157" customFormat="1" ht="25.5" customHeight="1" x14ac:dyDescent="0.2">
      <c r="A74" s="789"/>
      <c r="B74" s="800" t="s">
        <v>658</v>
      </c>
      <c r="C74" s="803"/>
      <c r="D74" s="389" t="s">
        <v>655</v>
      </c>
      <c r="E74" s="584">
        <v>30</v>
      </c>
      <c r="F74" s="735">
        <v>0.47</v>
      </c>
      <c r="G74" s="279">
        <f>E74*F74</f>
        <v>14.1</v>
      </c>
      <c r="H74" s="761">
        <v>7267</v>
      </c>
    </row>
    <row r="75" spans="1:12" s="157" customFormat="1" ht="25.5" customHeight="1" x14ac:dyDescent="0.2">
      <c r="A75" s="789"/>
      <c r="B75" s="809"/>
      <c r="C75" s="810"/>
      <c r="D75" s="389"/>
      <c r="E75" s="584"/>
      <c r="F75" s="735"/>
      <c r="G75" s="279"/>
      <c r="H75" s="761"/>
    </row>
    <row r="76" spans="1:12" s="157" customFormat="1" x14ac:dyDescent="0.2">
      <c r="A76" s="789"/>
      <c r="B76" s="838" t="s">
        <v>50</v>
      </c>
      <c r="C76" s="838"/>
      <c r="D76" s="443" t="s">
        <v>48</v>
      </c>
      <c r="E76" s="255">
        <v>0.96</v>
      </c>
      <c r="F76" s="722">
        <v>22.57</v>
      </c>
      <c r="G76" s="273">
        <f t="shared" ref="G76:G77" si="7">E76*F76</f>
        <v>21.667200000000001</v>
      </c>
      <c r="H76" s="263">
        <v>88309</v>
      </c>
    </row>
    <row r="77" spans="1:12" x14ac:dyDescent="0.2">
      <c r="A77" s="792"/>
      <c r="B77" s="800" t="s">
        <v>49</v>
      </c>
      <c r="C77" s="800"/>
      <c r="D77" s="443" t="s">
        <v>48</v>
      </c>
      <c r="E77" s="255">
        <v>1.92</v>
      </c>
      <c r="F77" s="722">
        <v>17.52</v>
      </c>
      <c r="G77" s="273">
        <f t="shared" si="7"/>
        <v>33.638399999999997</v>
      </c>
      <c r="H77" s="263">
        <v>88316</v>
      </c>
      <c r="I77" s="157"/>
      <c r="J77" s="157"/>
      <c r="K77" s="157"/>
      <c r="L77" s="157"/>
    </row>
    <row r="78" spans="1:12" ht="12.75" customHeight="1" x14ac:dyDescent="0.2">
      <c r="A78" s="792"/>
      <c r="B78" s="806"/>
      <c r="C78" s="806"/>
      <c r="D78" s="443"/>
      <c r="E78" s="582"/>
      <c r="F78" s="272"/>
      <c r="G78" s="271"/>
      <c r="H78" s="639"/>
    </row>
    <row r="79" spans="1:12" ht="15" x14ac:dyDescent="0.2">
      <c r="A79" s="792"/>
      <c r="B79" s="839" t="s">
        <v>51</v>
      </c>
      <c r="C79" s="839"/>
      <c r="D79" s="443"/>
      <c r="E79" s="584"/>
      <c r="F79" s="272"/>
      <c r="G79" s="271">
        <f>G74+G76+G77</f>
        <v>69.405599999999993</v>
      </c>
      <c r="H79" s="793"/>
    </row>
    <row r="80" spans="1:12" ht="15" x14ac:dyDescent="0.2">
      <c r="A80" s="792"/>
      <c r="B80" s="806"/>
      <c r="C80" s="806"/>
      <c r="D80" s="443"/>
      <c r="E80" s="584"/>
      <c r="F80" s="272"/>
      <c r="G80" s="272"/>
      <c r="H80" s="793"/>
    </row>
    <row r="81" spans="1:8" x14ac:dyDescent="0.2">
      <c r="A81" s="792"/>
      <c r="B81" s="806"/>
      <c r="C81" s="806"/>
      <c r="D81" s="755"/>
      <c r="E81" s="582"/>
      <c r="F81" s="272"/>
      <c r="G81" s="272"/>
      <c r="H81" s="639"/>
    </row>
    <row r="82" spans="1:8" ht="24" customHeight="1" x14ac:dyDescent="0.2">
      <c r="A82" s="794" t="s">
        <v>548</v>
      </c>
      <c r="B82" s="799" t="s">
        <v>748</v>
      </c>
      <c r="C82" s="799"/>
      <c r="D82" s="731">
        <f>G91</f>
        <v>72.75630000000001</v>
      </c>
      <c r="E82" s="582"/>
      <c r="F82" s="272"/>
      <c r="G82" s="272"/>
      <c r="H82" s="639"/>
    </row>
    <row r="83" spans="1:8" ht="26.25" customHeight="1" x14ac:dyDescent="0.2">
      <c r="A83" s="792"/>
      <c r="B83" s="800" t="s">
        <v>749</v>
      </c>
      <c r="C83" s="803"/>
      <c r="D83" s="389" t="s">
        <v>343</v>
      </c>
      <c r="E83" s="582">
        <v>1</v>
      </c>
      <c r="F83" s="722">
        <v>35.9</v>
      </c>
      <c r="G83" s="272">
        <f t="shared" ref="G83:G89" si="8">E83*F83</f>
        <v>35.9</v>
      </c>
      <c r="H83" s="263" t="s">
        <v>754</v>
      </c>
    </row>
    <row r="84" spans="1:8" x14ac:dyDescent="0.2">
      <c r="A84" s="792"/>
      <c r="B84" s="807" t="s">
        <v>750</v>
      </c>
      <c r="C84" s="808"/>
      <c r="D84" s="389" t="s">
        <v>343</v>
      </c>
      <c r="E84" s="582">
        <v>1</v>
      </c>
      <c r="F84" s="722">
        <v>10.88</v>
      </c>
      <c r="G84" s="272">
        <f t="shared" si="8"/>
        <v>10.88</v>
      </c>
      <c r="H84" s="263" t="s">
        <v>755</v>
      </c>
    </row>
    <row r="85" spans="1:8" x14ac:dyDescent="0.2">
      <c r="A85" s="792"/>
      <c r="B85" s="807" t="s">
        <v>751</v>
      </c>
      <c r="C85" s="808"/>
      <c r="D85" s="389" t="s">
        <v>343</v>
      </c>
      <c r="E85" s="582">
        <v>1</v>
      </c>
      <c r="F85" s="722">
        <v>4.88</v>
      </c>
      <c r="G85" s="272">
        <f t="shared" si="8"/>
        <v>4.88</v>
      </c>
      <c r="H85" s="639">
        <v>11681</v>
      </c>
    </row>
    <row r="86" spans="1:8" x14ac:dyDescent="0.2">
      <c r="A86" s="792"/>
      <c r="B86" s="807" t="s">
        <v>752</v>
      </c>
      <c r="C86" s="808"/>
      <c r="D86" s="389" t="s">
        <v>343</v>
      </c>
      <c r="E86" s="582">
        <v>1</v>
      </c>
      <c r="F86" s="722">
        <v>3.12</v>
      </c>
      <c r="G86" s="272">
        <f t="shared" si="8"/>
        <v>3.12</v>
      </c>
      <c r="H86" s="263" t="s">
        <v>753</v>
      </c>
    </row>
    <row r="87" spans="1:8" ht="26.25" customHeight="1" x14ac:dyDescent="0.2">
      <c r="A87" s="792"/>
      <c r="B87" s="800" t="s">
        <v>757</v>
      </c>
      <c r="C87" s="803"/>
      <c r="D87" s="389" t="s">
        <v>343</v>
      </c>
      <c r="E87" s="582">
        <v>4</v>
      </c>
      <c r="F87" s="722">
        <v>0.73</v>
      </c>
      <c r="G87" s="272">
        <f t="shared" si="8"/>
        <v>2.92</v>
      </c>
      <c r="H87" s="263" t="s">
        <v>756</v>
      </c>
    </row>
    <row r="88" spans="1:8" ht="14.25" customHeight="1" x14ac:dyDescent="0.2">
      <c r="A88" s="792"/>
      <c r="B88" s="800" t="s">
        <v>758</v>
      </c>
      <c r="C88" s="800"/>
      <c r="D88" s="389" t="s">
        <v>343</v>
      </c>
      <c r="E88" s="582">
        <v>2</v>
      </c>
      <c r="F88" s="722">
        <v>0.91</v>
      </c>
      <c r="G88" s="272">
        <f t="shared" si="8"/>
        <v>1.82</v>
      </c>
      <c r="H88" s="639">
        <v>39140</v>
      </c>
    </row>
    <row r="89" spans="1:8" x14ac:dyDescent="0.2">
      <c r="A89" s="792"/>
      <c r="B89" s="804" t="s">
        <v>880</v>
      </c>
      <c r="C89" s="804"/>
      <c r="D89" s="222" t="s">
        <v>48</v>
      </c>
      <c r="E89" s="582">
        <v>0.77</v>
      </c>
      <c r="F89" s="722">
        <v>17.190000000000001</v>
      </c>
      <c r="G89" s="635">
        <f t="shared" si="8"/>
        <v>13.236300000000002</v>
      </c>
      <c r="H89" s="639">
        <v>88248</v>
      </c>
    </row>
    <row r="90" spans="1:8" x14ac:dyDescent="0.2">
      <c r="A90" s="792"/>
      <c r="B90" s="805"/>
      <c r="C90" s="805"/>
      <c r="D90" s="222"/>
      <c r="E90" s="582"/>
      <c r="F90" s="272"/>
      <c r="G90" s="272"/>
      <c r="H90" s="639"/>
    </row>
    <row r="91" spans="1:8" ht="12.75" customHeight="1" x14ac:dyDescent="0.2">
      <c r="A91" s="792"/>
      <c r="B91" s="801" t="s">
        <v>51</v>
      </c>
      <c r="C91" s="801"/>
      <c r="D91" s="755"/>
      <c r="E91" s="582"/>
      <c r="F91" s="272"/>
      <c r="G91" s="442">
        <f>G83+G84+G85+G86+G87+G88+G89</f>
        <v>72.75630000000001</v>
      </c>
      <c r="H91" s="639"/>
    </row>
    <row r="92" spans="1:8" ht="12.75" customHeight="1" x14ac:dyDescent="0.2">
      <c r="A92" s="792"/>
      <c r="B92" s="798"/>
      <c r="C92" s="798"/>
      <c r="D92" s="755"/>
      <c r="E92" s="582"/>
      <c r="F92" s="272"/>
      <c r="G92" s="271"/>
      <c r="H92" s="639"/>
    </row>
    <row r="93" spans="1:8" ht="12.75" customHeight="1" x14ac:dyDescent="0.2">
      <c r="A93" s="792"/>
      <c r="B93" s="798"/>
      <c r="C93" s="798"/>
      <c r="D93" s="755"/>
      <c r="E93" s="582"/>
      <c r="F93" s="272"/>
      <c r="G93" s="271"/>
      <c r="H93" s="639"/>
    </row>
    <row r="94" spans="1:8" ht="51" customHeight="1" x14ac:dyDescent="0.2">
      <c r="A94" s="353" t="s">
        <v>760</v>
      </c>
      <c r="B94" s="799" t="s">
        <v>795</v>
      </c>
      <c r="C94" s="799"/>
      <c r="D94" s="389" t="s">
        <v>343</v>
      </c>
      <c r="E94" s="616"/>
      <c r="F94" s="273"/>
      <c r="G94" s="271"/>
      <c r="H94" s="780"/>
    </row>
    <row r="95" spans="1:8" ht="15.75" customHeight="1" x14ac:dyDescent="0.2">
      <c r="A95" s="781" t="s">
        <v>6</v>
      </c>
      <c r="B95" s="852" t="s">
        <v>881</v>
      </c>
      <c r="C95" s="852"/>
      <c r="D95" s="443" t="s">
        <v>52</v>
      </c>
      <c r="E95" s="255">
        <f>'8A.1 V. Infilt. Mem Cal Cp35'!J65</f>
        <v>0.5420799999999999</v>
      </c>
      <c r="F95" s="722">
        <v>69.3</v>
      </c>
      <c r="G95" s="273">
        <f>E95*F95</f>
        <v>37.566143999999994</v>
      </c>
      <c r="H95" s="263">
        <v>93358</v>
      </c>
    </row>
    <row r="96" spans="1:8" ht="29.25" customHeight="1" x14ac:dyDescent="0.2">
      <c r="A96" s="781" t="s">
        <v>8</v>
      </c>
      <c r="B96" s="853" t="s">
        <v>657</v>
      </c>
      <c r="C96" s="854"/>
      <c r="D96" s="443" t="s">
        <v>52</v>
      </c>
      <c r="E96" s="255">
        <f>'8A.1 V. Infilt. Mem Cal Cp35'!J78</f>
        <v>3.8720000000000004E-2</v>
      </c>
      <c r="F96" s="722">
        <v>213.38</v>
      </c>
      <c r="G96" s="273">
        <f>E96*F96</f>
        <v>8.2620736000000008</v>
      </c>
      <c r="H96" s="769">
        <v>101619</v>
      </c>
    </row>
    <row r="97" spans="1:8" ht="24.75" customHeight="1" x14ac:dyDescent="0.2">
      <c r="A97" s="781" t="s">
        <v>23</v>
      </c>
      <c r="B97" s="857" t="s">
        <v>882</v>
      </c>
      <c r="C97" s="857"/>
      <c r="D97" s="762" t="s">
        <v>10</v>
      </c>
      <c r="E97" s="255">
        <f>'8A.1 V. Infilt. Mem Cal Cp35'!D81</f>
        <v>3.8720000000000004E-2</v>
      </c>
      <c r="F97" s="724">
        <v>401.68</v>
      </c>
      <c r="G97" s="273">
        <f t="shared" ref="G97:G102" si="9">E97*F97</f>
        <v>15.553049600000001</v>
      </c>
      <c r="H97" s="787">
        <v>94975</v>
      </c>
    </row>
    <row r="98" spans="1:8" ht="43.5" customHeight="1" x14ac:dyDescent="0.2">
      <c r="A98" s="781" t="s">
        <v>24</v>
      </c>
      <c r="B98" s="856" t="s">
        <v>879</v>
      </c>
      <c r="C98" s="856"/>
      <c r="D98" s="443" t="s">
        <v>845</v>
      </c>
      <c r="E98" s="255">
        <f>'8A.1 V. Infilt. Mem Cal Cp35'!J93</f>
        <v>1.2059999999999997</v>
      </c>
      <c r="F98" s="733">
        <v>112.45</v>
      </c>
      <c r="G98" s="441">
        <f>E98*F98</f>
        <v>135.61469999999997</v>
      </c>
      <c r="H98" s="770">
        <v>103333</v>
      </c>
    </row>
    <row r="99" spans="1:8" ht="43.5" customHeight="1" x14ac:dyDescent="0.2">
      <c r="A99" s="781" t="s">
        <v>25</v>
      </c>
      <c r="B99" s="800" t="s">
        <v>878</v>
      </c>
      <c r="C99" s="800"/>
      <c r="D99" s="443" t="s">
        <v>845</v>
      </c>
      <c r="E99" s="255">
        <f>'8A.1 V. Infilt. Mem Cal Cp35'!J99</f>
        <v>0.43259999999999998</v>
      </c>
      <c r="F99" s="722">
        <v>135.05000000000001</v>
      </c>
      <c r="G99" s="272">
        <f>E99*F99</f>
        <v>58.422630000000005</v>
      </c>
      <c r="H99" s="761">
        <v>103334</v>
      </c>
    </row>
    <row r="100" spans="1:8" ht="33" customHeight="1" x14ac:dyDescent="0.2">
      <c r="A100" s="781" t="s">
        <v>26</v>
      </c>
      <c r="B100" s="800" t="s">
        <v>875</v>
      </c>
      <c r="C100" s="800"/>
      <c r="D100" s="443" t="s">
        <v>845</v>
      </c>
      <c r="E100" s="255">
        <f>'8A.1 V. Infilt. Mem Cal Cp35'!J115</f>
        <v>3.0076000000000001</v>
      </c>
      <c r="F100" s="722">
        <v>4.24</v>
      </c>
      <c r="G100" s="273">
        <f>E100*F100</f>
        <v>12.752224</v>
      </c>
      <c r="H100" s="263">
        <v>87878</v>
      </c>
    </row>
    <row r="101" spans="1:8" ht="40.5" customHeight="1" x14ac:dyDescent="0.2">
      <c r="A101" s="781" t="s">
        <v>27</v>
      </c>
      <c r="B101" s="800" t="s">
        <v>876</v>
      </c>
      <c r="C101" s="800"/>
      <c r="D101" s="443" t="s">
        <v>845</v>
      </c>
      <c r="E101" s="255">
        <f>'8A.1 V. Infilt. Mem Cal Cp35'!D119</f>
        <v>3.3083600000000004</v>
      </c>
      <c r="F101" s="733">
        <v>35.28</v>
      </c>
      <c r="G101" s="273">
        <f>E101*F101</f>
        <v>116.71894080000001</v>
      </c>
      <c r="H101" s="771">
        <v>87530</v>
      </c>
    </row>
    <row r="102" spans="1:8" ht="25.5" customHeight="1" x14ac:dyDescent="0.2">
      <c r="A102" s="781" t="s">
        <v>34</v>
      </c>
      <c r="B102" s="800" t="s">
        <v>877</v>
      </c>
      <c r="C102" s="800"/>
      <c r="D102" s="443" t="s">
        <v>52</v>
      </c>
      <c r="E102" s="255">
        <f>'8A.1 V. Infilt. Mem Cal Cp35'!D124</f>
        <v>4.3349999999999993E-2</v>
      </c>
      <c r="F102" s="722">
        <v>2252.83</v>
      </c>
      <c r="G102" s="273">
        <f t="shared" si="9"/>
        <v>97.660180499999981</v>
      </c>
      <c r="H102" s="263">
        <v>97735</v>
      </c>
    </row>
    <row r="103" spans="1:8" x14ac:dyDescent="0.2">
      <c r="A103" s="784"/>
      <c r="B103" s="802"/>
      <c r="C103" s="802"/>
      <c r="D103" s="233"/>
      <c r="E103" s="233"/>
      <c r="F103" s="233"/>
      <c r="G103" s="233"/>
      <c r="H103" s="662"/>
    </row>
    <row r="104" spans="1:8" x14ac:dyDescent="0.2">
      <c r="A104" s="784"/>
      <c r="B104" s="801" t="s">
        <v>21</v>
      </c>
      <c r="C104" s="801"/>
      <c r="D104" s="443"/>
      <c r="E104" s="255"/>
      <c r="F104" s="273"/>
      <c r="G104" s="271">
        <f>G95+G96+G97+G98+G99+G100+G101+G102</f>
        <v>482.54994249999999</v>
      </c>
      <c r="H104" s="263"/>
    </row>
    <row r="105" spans="1:8" x14ac:dyDescent="0.2">
      <c r="A105" s="784"/>
      <c r="B105" s="798"/>
      <c r="C105" s="798"/>
      <c r="D105" s="443"/>
      <c r="E105" s="255"/>
      <c r="F105" s="273"/>
      <c r="G105" s="271"/>
      <c r="H105" s="263"/>
    </row>
    <row r="106" spans="1:8" ht="15" x14ac:dyDescent="0.2">
      <c r="A106" s="784" t="s">
        <v>829</v>
      </c>
      <c r="B106" s="829" t="s">
        <v>828</v>
      </c>
      <c r="C106" s="829"/>
      <c r="D106" s="726" t="s">
        <v>416</v>
      </c>
      <c r="E106" s="255"/>
      <c r="F106" s="273"/>
      <c r="G106" s="271"/>
      <c r="H106" s="263"/>
    </row>
    <row r="107" spans="1:8" ht="15" customHeight="1" x14ac:dyDescent="0.2">
      <c r="A107" s="792"/>
      <c r="B107" s="838" t="s">
        <v>50</v>
      </c>
      <c r="C107" s="838"/>
      <c r="D107" s="726" t="s">
        <v>48</v>
      </c>
      <c r="E107" s="255">
        <v>0.36</v>
      </c>
      <c r="F107" s="722">
        <v>22.57</v>
      </c>
      <c r="G107" s="273">
        <f>E107*F107</f>
        <v>8.1251999999999995</v>
      </c>
      <c r="H107" s="263">
        <v>88309</v>
      </c>
    </row>
    <row r="108" spans="1:8" ht="15" customHeight="1" x14ac:dyDescent="0.2">
      <c r="A108" s="792"/>
      <c r="B108" s="800" t="s">
        <v>49</v>
      </c>
      <c r="C108" s="800"/>
      <c r="D108" s="726" t="s">
        <v>48</v>
      </c>
      <c r="E108" s="255">
        <v>1.62</v>
      </c>
      <c r="F108" s="722">
        <v>17.52</v>
      </c>
      <c r="G108" s="273">
        <f>E108*F108</f>
        <v>28.382400000000001</v>
      </c>
      <c r="H108" s="263">
        <v>88316</v>
      </c>
    </row>
    <row r="109" spans="1:8" ht="15" customHeight="1" x14ac:dyDescent="0.2">
      <c r="A109" s="792"/>
      <c r="B109" s="808" t="s">
        <v>821</v>
      </c>
      <c r="C109" s="808"/>
      <c r="D109" s="726" t="s">
        <v>416</v>
      </c>
      <c r="E109" s="255">
        <v>1</v>
      </c>
      <c r="F109" s="722">
        <v>44.3</v>
      </c>
      <c r="G109" s="273">
        <f>E109*F109</f>
        <v>44.3</v>
      </c>
      <c r="H109" s="639">
        <v>4722</v>
      </c>
    </row>
    <row r="110" spans="1:8" ht="15" customHeight="1" x14ac:dyDescent="0.2">
      <c r="A110" s="792"/>
      <c r="B110" s="802"/>
      <c r="C110" s="802"/>
      <c r="D110" s="726"/>
      <c r="E110" s="710"/>
      <c r="F110" s="727"/>
      <c r="G110" s="709"/>
      <c r="H110" s="639"/>
    </row>
    <row r="111" spans="1:8" ht="15" customHeight="1" x14ac:dyDescent="0.2">
      <c r="A111" s="792"/>
      <c r="B111" s="801" t="s">
        <v>21</v>
      </c>
      <c r="C111" s="801"/>
      <c r="D111" s="755"/>
      <c r="E111" s="582"/>
      <c r="F111" s="272"/>
      <c r="G111" s="271">
        <f>G107+G108+G109</f>
        <v>80.807599999999994</v>
      </c>
      <c r="H111" s="639"/>
    </row>
    <row r="112" spans="1:8" ht="15" customHeight="1" x14ac:dyDescent="0.2">
      <c r="A112" s="792"/>
      <c r="B112" s="802"/>
      <c r="C112" s="802"/>
      <c r="D112" s="726"/>
      <c r="E112" s="710"/>
      <c r="F112" s="727"/>
      <c r="G112" s="709"/>
      <c r="H112" s="639"/>
    </row>
    <row r="113" spans="1:8" ht="27" customHeight="1" x14ac:dyDescent="0.2">
      <c r="A113" s="353" t="s">
        <v>833</v>
      </c>
      <c r="B113" s="799" t="s">
        <v>834</v>
      </c>
      <c r="C113" s="799"/>
      <c r="D113" s="443" t="s">
        <v>33</v>
      </c>
      <c r="E113" s="582"/>
      <c r="F113" s="272"/>
      <c r="G113" s="272"/>
      <c r="H113" s="639"/>
    </row>
    <row r="114" spans="1:8" ht="26.25" customHeight="1" x14ac:dyDescent="0.2">
      <c r="A114" s="792"/>
      <c r="B114" s="800" t="s">
        <v>835</v>
      </c>
      <c r="C114" s="803"/>
      <c r="D114" s="222" t="s">
        <v>33</v>
      </c>
      <c r="E114" s="634">
        <v>1</v>
      </c>
      <c r="F114" s="764">
        <v>8.86</v>
      </c>
      <c r="G114" s="233">
        <f>E114*F114</f>
        <v>8.86</v>
      </c>
      <c r="H114" s="639">
        <v>38052</v>
      </c>
    </row>
    <row r="115" spans="1:8" ht="15" x14ac:dyDescent="0.2">
      <c r="A115" s="792"/>
      <c r="B115" s="838" t="s">
        <v>50</v>
      </c>
      <c r="C115" s="838"/>
      <c r="D115" s="726" t="s">
        <v>48</v>
      </c>
      <c r="E115" s="582">
        <v>0.06</v>
      </c>
      <c r="F115" s="722">
        <v>22.57</v>
      </c>
      <c r="G115" s="272">
        <f>E115*F115</f>
        <v>1.3542000000000001</v>
      </c>
      <c r="H115" s="263">
        <v>88309</v>
      </c>
    </row>
    <row r="116" spans="1:8" ht="15" x14ac:dyDescent="0.2">
      <c r="A116" s="792"/>
      <c r="B116" s="800" t="s">
        <v>49</v>
      </c>
      <c r="C116" s="800"/>
      <c r="D116" s="726" t="s">
        <v>48</v>
      </c>
      <c r="E116" s="582">
        <v>0.16</v>
      </c>
      <c r="F116" s="722">
        <v>17.52</v>
      </c>
      <c r="G116" s="272">
        <f>E116*F116</f>
        <v>2.8031999999999999</v>
      </c>
      <c r="H116" s="263">
        <v>88316</v>
      </c>
    </row>
    <row r="117" spans="1:8" x14ac:dyDescent="0.2">
      <c r="A117" s="792"/>
      <c r="B117" s="802"/>
      <c r="C117" s="802"/>
      <c r="D117" s="755"/>
      <c r="E117" s="582"/>
      <c r="F117" s="272"/>
      <c r="G117" s="272"/>
      <c r="H117" s="639"/>
    </row>
    <row r="118" spans="1:8" x14ac:dyDescent="0.2">
      <c r="A118" s="792"/>
      <c r="B118" s="801" t="s">
        <v>21</v>
      </c>
      <c r="C118" s="801"/>
      <c r="D118" s="755"/>
      <c r="E118" s="582"/>
      <c r="F118" s="272"/>
      <c r="G118" s="271">
        <f>G114+G115+G116</f>
        <v>13.0174</v>
      </c>
      <c r="H118" s="639"/>
    </row>
    <row r="119" spans="1:8" x14ac:dyDescent="0.2">
      <c r="A119" s="792"/>
      <c r="B119" s="802"/>
      <c r="C119" s="802"/>
      <c r="D119" s="755"/>
      <c r="E119" s="582"/>
      <c r="F119" s="272"/>
      <c r="G119" s="272"/>
      <c r="H119" s="639"/>
    </row>
    <row r="120" spans="1:8" x14ac:dyDescent="0.2">
      <c r="A120" s="353" t="s">
        <v>838</v>
      </c>
      <c r="B120" s="829" t="s">
        <v>837</v>
      </c>
      <c r="C120" s="829"/>
      <c r="D120" s="222" t="s">
        <v>35</v>
      </c>
      <c r="E120" s="582"/>
      <c r="F120" s="272"/>
      <c r="G120" s="272"/>
      <c r="H120" s="639"/>
    </row>
    <row r="121" spans="1:8" x14ac:dyDescent="0.2">
      <c r="A121" s="792"/>
      <c r="B121" s="807" t="s">
        <v>839</v>
      </c>
      <c r="C121" s="808"/>
      <c r="D121" s="222" t="s">
        <v>35</v>
      </c>
      <c r="E121" s="582">
        <v>1</v>
      </c>
      <c r="F121" s="722">
        <v>1.2</v>
      </c>
      <c r="G121" s="272">
        <f>E121*F121</f>
        <v>1.2</v>
      </c>
      <c r="H121" s="263" t="s">
        <v>840</v>
      </c>
    </row>
    <row r="122" spans="1:8" ht="15" x14ac:dyDescent="0.2">
      <c r="A122" s="792"/>
      <c r="B122" s="800" t="s">
        <v>49</v>
      </c>
      <c r="C122" s="800"/>
      <c r="D122" s="726" t="s">
        <v>48</v>
      </c>
      <c r="E122" s="582">
        <v>0.16</v>
      </c>
      <c r="F122" s="722">
        <v>17.52</v>
      </c>
      <c r="G122" s="272">
        <f>E122*F122</f>
        <v>2.8031999999999999</v>
      </c>
      <c r="H122" s="263">
        <v>88316</v>
      </c>
    </row>
    <row r="123" spans="1:8" x14ac:dyDescent="0.2">
      <c r="A123" s="792"/>
      <c r="B123" s="802"/>
      <c r="C123" s="802"/>
      <c r="D123" s="755"/>
      <c r="E123" s="582"/>
      <c r="F123" s="272"/>
      <c r="G123" s="272"/>
      <c r="H123" s="639"/>
    </row>
    <row r="124" spans="1:8" x14ac:dyDescent="0.2">
      <c r="A124" s="792"/>
      <c r="B124" s="801" t="s">
        <v>21</v>
      </c>
      <c r="C124" s="840"/>
      <c r="D124" s="755"/>
      <c r="E124" s="582"/>
      <c r="F124" s="272"/>
      <c r="G124" s="271">
        <f>G121+G122</f>
        <v>4.0031999999999996</v>
      </c>
      <c r="H124" s="639"/>
    </row>
    <row r="125" spans="1:8" x14ac:dyDescent="0.2">
      <c r="A125" s="792"/>
      <c r="B125" s="802"/>
      <c r="C125" s="802"/>
      <c r="D125" s="755"/>
      <c r="E125" s="582"/>
      <c r="F125" s="272"/>
      <c r="G125" s="272"/>
      <c r="H125" s="639"/>
    </row>
    <row r="126" spans="1:8" x14ac:dyDescent="0.2">
      <c r="A126" s="792"/>
      <c r="B126" s="802"/>
      <c r="C126" s="802"/>
      <c r="D126" s="755"/>
      <c r="E126" s="582"/>
      <c r="F126" s="272"/>
      <c r="G126" s="272"/>
      <c r="H126" s="639"/>
    </row>
    <row r="127" spans="1:8" x14ac:dyDescent="0.2">
      <c r="A127" s="353" t="s">
        <v>846</v>
      </c>
      <c r="B127" s="830" t="s">
        <v>847</v>
      </c>
      <c r="C127" s="830"/>
      <c r="D127" s="755"/>
      <c r="E127" s="582"/>
      <c r="F127" s="272"/>
      <c r="G127" s="272"/>
      <c r="H127" s="639"/>
    </row>
    <row r="128" spans="1:8" x14ac:dyDescent="0.2">
      <c r="A128" s="792"/>
      <c r="B128" s="807" t="s">
        <v>850</v>
      </c>
      <c r="C128" s="808"/>
      <c r="D128" s="222" t="s">
        <v>35</v>
      </c>
      <c r="E128" s="582">
        <v>1</v>
      </c>
      <c r="F128" s="272">
        <v>320</v>
      </c>
      <c r="G128" s="272">
        <f t="shared" ref="G128:G134" si="10">E128*F128</f>
        <v>320</v>
      </c>
      <c r="H128" s="760" t="s">
        <v>327</v>
      </c>
    </row>
    <row r="129" spans="1:8" x14ac:dyDescent="0.2">
      <c r="A129" s="792"/>
      <c r="B129" s="807" t="s">
        <v>849</v>
      </c>
      <c r="C129" s="808"/>
      <c r="D129" s="222" t="s">
        <v>33</v>
      </c>
      <c r="E129" s="582">
        <v>4</v>
      </c>
      <c r="F129" s="722">
        <v>4.66</v>
      </c>
      <c r="G129" s="272">
        <f t="shared" si="10"/>
        <v>18.64</v>
      </c>
      <c r="H129" s="263" t="s">
        <v>848</v>
      </c>
    </row>
    <row r="130" spans="1:8" x14ac:dyDescent="0.2">
      <c r="A130" s="792"/>
      <c r="B130" s="807" t="s">
        <v>851</v>
      </c>
      <c r="C130" s="808"/>
      <c r="D130" s="222" t="s">
        <v>33</v>
      </c>
      <c r="E130" s="582">
        <v>6.5</v>
      </c>
      <c r="F130" s="722">
        <v>1.63</v>
      </c>
      <c r="G130" s="272">
        <f t="shared" si="10"/>
        <v>10.594999999999999</v>
      </c>
      <c r="H130" s="263" t="s">
        <v>852</v>
      </c>
    </row>
    <row r="131" spans="1:8" x14ac:dyDescent="0.2">
      <c r="A131" s="792"/>
      <c r="B131" s="807" t="s">
        <v>853</v>
      </c>
      <c r="C131" s="808"/>
      <c r="D131" s="222" t="s">
        <v>270</v>
      </c>
      <c r="E131" s="582">
        <v>0.11</v>
      </c>
      <c r="F131" s="722">
        <v>14.55</v>
      </c>
      <c r="G131" s="272">
        <f t="shared" si="10"/>
        <v>1.6005</v>
      </c>
      <c r="H131" s="263" t="s">
        <v>854</v>
      </c>
    </row>
    <row r="132" spans="1:8" ht="27.75" customHeight="1" x14ac:dyDescent="0.2">
      <c r="A132" s="792"/>
      <c r="B132" s="800" t="s">
        <v>883</v>
      </c>
      <c r="C132" s="803"/>
      <c r="D132" s="222" t="s">
        <v>416</v>
      </c>
      <c r="E132" s="582">
        <v>0.02</v>
      </c>
      <c r="F132" s="722">
        <v>373.25</v>
      </c>
      <c r="G132" s="272">
        <f t="shared" si="10"/>
        <v>7.4649999999999999</v>
      </c>
      <c r="H132" s="639">
        <v>94974</v>
      </c>
    </row>
    <row r="133" spans="1:8" x14ac:dyDescent="0.2">
      <c r="A133" s="792"/>
      <c r="B133" s="807" t="s">
        <v>855</v>
      </c>
      <c r="C133" s="808"/>
      <c r="D133" s="222" t="s">
        <v>48</v>
      </c>
      <c r="E133" s="582">
        <v>1</v>
      </c>
      <c r="F133" s="722">
        <v>22.36</v>
      </c>
      <c r="G133" s="272">
        <f t="shared" si="10"/>
        <v>22.36</v>
      </c>
      <c r="H133" s="639">
        <v>88262</v>
      </c>
    </row>
    <row r="134" spans="1:8" x14ac:dyDescent="0.2">
      <c r="A134" s="792"/>
      <c r="B134" s="807" t="s">
        <v>856</v>
      </c>
      <c r="C134" s="808"/>
      <c r="D134" s="222" t="s">
        <v>48</v>
      </c>
      <c r="E134" s="582">
        <v>2</v>
      </c>
      <c r="F134" s="722">
        <v>18.829999999999998</v>
      </c>
      <c r="G134" s="272">
        <f t="shared" si="10"/>
        <v>37.659999999999997</v>
      </c>
      <c r="H134" s="639">
        <v>88239</v>
      </c>
    </row>
    <row r="135" spans="1:8" x14ac:dyDescent="0.2">
      <c r="A135" s="792"/>
      <c r="B135" s="802"/>
      <c r="C135" s="802"/>
      <c r="D135" s="755"/>
      <c r="E135" s="582"/>
      <c r="F135" s="272"/>
      <c r="G135" s="272"/>
      <c r="H135" s="639"/>
    </row>
    <row r="136" spans="1:8" x14ac:dyDescent="0.2">
      <c r="A136" s="792"/>
      <c r="B136" s="801" t="s">
        <v>32</v>
      </c>
      <c r="C136" s="801"/>
      <c r="D136" s="755"/>
      <c r="E136" s="582"/>
      <c r="F136" s="272"/>
      <c r="G136" s="271">
        <f>G128+G129+G130+G131+G132+G133+G134</f>
        <v>418.32050000000004</v>
      </c>
      <c r="H136" s="639"/>
    </row>
    <row r="137" spans="1:8" x14ac:dyDescent="0.2">
      <c r="A137" s="792"/>
      <c r="B137" s="802"/>
      <c r="C137" s="802"/>
      <c r="D137" s="755"/>
      <c r="E137" s="582"/>
      <c r="F137" s="272"/>
      <c r="G137" s="272"/>
      <c r="H137" s="639"/>
    </row>
    <row r="138" spans="1:8" x14ac:dyDescent="0.2">
      <c r="A138" s="785"/>
      <c r="B138" s="802"/>
      <c r="C138" s="802"/>
      <c r="D138" s="755"/>
      <c r="E138" s="582"/>
      <c r="F138" s="272"/>
      <c r="G138" s="272"/>
      <c r="H138" s="639"/>
    </row>
    <row r="139" spans="1:8" ht="13.5" thickBot="1" x14ac:dyDescent="0.25">
      <c r="A139" s="795"/>
      <c r="B139" s="841"/>
      <c r="C139" s="841"/>
      <c r="D139" s="642"/>
      <c r="E139" s="796"/>
      <c r="F139" s="644"/>
      <c r="G139" s="644"/>
      <c r="H139" s="666"/>
    </row>
  </sheetData>
  <sheetProtection selectLockedCells="1" selectUnlockedCells="1"/>
  <mergeCells count="146">
    <mergeCell ref="B108:C108"/>
    <mergeCell ref="K7:Q8"/>
    <mergeCell ref="E48:H48"/>
    <mergeCell ref="B92:C92"/>
    <mergeCell ref="B93:C93"/>
    <mergeCell ref="B58:C58"/>
    <mergeCell ref="B61:C61"/>
    <mergeCell ref="B62:C62"/>
    <mergeCell ref="B63:C63"/>
    <mergeCell ref="B64:C64"/>
    <mergeCell ref="B65:C65"/>
    <mergeCell ref="B66:C66"/>
    <mergeCell ref="B67:C67"/>
    <mergeCell ref="B68:C68"/>
    <mergeCell ref="B69:C69"/>
    <mergeCell ref="B71:C71"/>
    <mergeCell ref="B98:C98"/>
    <mergeCell ref="B102:C102"/>
    <mergeCell ref="B99:C99"/>
    <mergeCell ref="B94:C94"/>
    <mergeCell ref="B95:C95"/>
    <mergeCell ref="B97:C97"/>
    <mergeCell ref="B96:C96"/>
    <mergeCell ref="B78:C78"/>
    <mergeCell ref="B136:C136"/>
    <mergeCell ref="B137:C137"/>
    <mergeCell ref="B138:C138"/>
    <mergeCell ref="B139:C139"/>
    <mergeCell ref="B130:C130"/>
    <mergeCell ref="B131:C131"/>
    <mergeCell ref="B132:C132"/>
    <mergeCell ref="B133:C133"/>
    <mergeCell ref="B134:C134"/>
    <mergeCell ref="B135:C135"/>
    <mergeCell ref="B126:C126"/>
    <mergeCell ref="B128:C128"/>
    <mergeCell ref="B129:C129"/>
    <mergeCell ref="B101:C101"/>
    <mergeCell ref="B121:C121"/>
    <mergeCell ref="B122:C122"/>
    <mergeCell ref="B123:C123"/>
    <mergeCell ref="B124:C124"/>
    <mergeCell ref="B125:C125"/>
    <mergeCell ref="B116:C116"/>
    <mergeCell ref="B117:C117"/>
    <mergeCell ref="B118:C118"/>
    <mergeCell ref="B119:C119"/>
    <mergeCell ref="B120:C120"/>
    <mergeCell ref="B109:C109"/>
    <mergeCell ref="B111:C111"/>
    <mergeCell ref="B115:C115"/>
    <mergeCell ref="B110:C110"/>
    <mergeCell ref="B112:C112"/>
    <mergeCell ref="B114:C114"/>
    <mergeCell ref="B107:C107"/>
    <mergeCell ref="B113:C113"/>
    <mergeCell ref="B105:C105"/>
    <mergeCell ref="B104:C104"/>
    <mergeCell ref="B127:C127"/>
    <mergeCell ref="B41:C41"/>
    <mergeCell ref="B42:C42"/>
    <mergeCell ref="B45:C45"/>
    <mergeCell ref="B43:C43"/>
    <mergeCell ref="B44:C44"/>
    <mergeCell ref="B46:C46"/>
    <mergeCell ref="B48:C48"/>
    <mergeCell ref="B52:C52"/>
    <mergeCell ref="B106:C106"/>
    <mergeCell ref="B54:C54"/>
    <mergeCell ref="B49:C49"/>
    <mergeCell ref="B70:C70"/>
    <mergeCell ref="B51:C51"/>
    <mergeCell ref="B53:C53"/>
    <mergeCell ref="B56:C56"/>
    <mergeCell ref="B57:C57"/>
    <mergeCell ref="B59:C59"/>
    <mergeCell ref="B55:C55"/>
    <mergeCell ref="B72:C72"/>
    <mergeCell ref="B73:C73"/>
    <mergeCell ref="B76:C76"/>
    <mergeCell ref="B77:C77"/>
    <mergeCell ref="B79:C79"/>
    <mergeCell ref="B15:C15"/>
    <mergeCell ref="B16:C16"/>
    <mergeCell ref="B21:C21"/>
    <mergeCell ref="B22:C22"/>
    <mergeCell ref="B23:C23"/>
    <mergeCell ref="B26:C26"/>
    <mergeCell ref="B50:C50"/>
    <mergeCell ref="B34:C34"/>
    <mergeCell ref="B35:C35"/>
    <mergeCell ref="B39:C39"/>
    <mergeCell ref="B36:C36"/>
    <mergeCell ref="B37:C37"/>
    <mergeCell ref="B47:C47"/>
    <mergeCell ref="B38:C38"/>
    <mergeCell ref="B40:C40"/>
    <mergeCell ref="B30:C30"/>
    <mergeCell ref="B75:C75"/>
    <mergeCell ref="A1:H1"/>
    <mergeCell ref="B17:C17"/>
    <mergeCell ref="B18:C18"/>
    <mergeCell ref="B19:C19"/>
    <mergeCell ref="B20:C20"/>
    <mergeCell ref="B29:C29"/>
    <mergeCell ref="B31:C31"/>
    <mergeCell ref="B32:C32"/>
    <mergeCell ref="B33:C33"/>
    <mergeCell ref="A2:H2"/>
    <mergeCell ref="A5:H5"/>
    <mergeCell ref="A6:H6"/>
    <mergeCell ref="G3:H3"/>
    <mergeCell ref="E3:F3"/>
    <mergeCell ref="G4:H4"/>
    <mergeCell ref="E4:F4"/>
    <mergeCell ref="C3:D3"/>
    <mergeCell ref="C4:D4"/>
    <mergeCell ref="A3:B3"/>
    <mergeCell ref="A4:B4"/>
    <mergeCell ref="B24:C24"/>
    <mergeCell ref="B25:C25"/>
    <mergeCell ref="B28:C28"/>
    <mergeCell ref="B7:C7"/>
    <mergeCell ref="B8:C8"/>
    <mergeCell ref="B9:C9"/>
    <mergeCell ref="B10:C10"/>
    <mergeCell ref="B11:C11"/>
    <mergeCell ref="B12:C12"/>
    <mergeCell ref="B13:C13"/>
    <mergeCell ref="B14:C14"/>
    <mergeCell ref="B103:C103"/>
    <mergeCell ref="B74:C74"/>
    <mergeCell ref="B89:C89"/>
    <mergeCell ref="B91:C91"/>
    <mergeCell ref="B100:C100"/>
    <mergeCell ref="B88:C88"/>
    <mergeCell ref="B90:C90"/>
    <mergeCell ref="B60:C60"/>
    <mergeCell ref="B80:C80"/>
    <mergeCell ref="B81:C81"/>
    <mergeCell ref="B82:C82"/>
    <mergeCell ref="B83:C83"/>
    <mergeCell ref="B84:C84"/>
    <mergeCell ref="B85:C85"/>
    <mergeCell ref="B86:C86"/>
    <mergeCell ref="B87:C87"/>
  </mergeCells>
  <printOptions horizontalCentered="1"/>
  <pageMargins left="0.23622047244094491" right="0.59055118110236227" top="0.43307086614173229" bottom="0.27559055118110237" header="0.51181102362204722" footer="0.19685039370078741"/>
  <pageSetup paperSize="9" scale="65" fitToHeight="0" orientation="portrait" r:id="rId1"/>
  <headerFooter alignWithMargins="0"/>
  <rowBreaks count="4" manualBreakCount="4">
    <brk id="37" max="15" man="1"/>
    <brk id="68" max="15" man="1"/>
    <brk id="92" max="15" man="1"/>
    <brk id="126" max="1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T126"/>
  <sheetViews>
    <sheetView workbookViewId="0">
      <selection sqref="A1:L1"/>
    </sheetView>
  </sheetViews>
  <sheetFormatPr defaultRowHeight="12.75" x14ac:dyDescent="0.2"/>
  <cols>
    <col min="1" max="1" width="5.28515625" style="213" customWidth="1"/>
    <col min="2" max="2" width="58.5703125" style="213" customWidth="1"/>
    <col min="3" max="3" width="7.42578125" style="213" customWidth="1"/>
    <col min="4" max="4" width="9.42578125" style="472" customWidth="1"/>
    <col min="5" max="5" width="9.140625" style="472"/>
    <col min="6" max="6" width="13.28515625" style="472" customWidth="1"/>
    <col min="7" max="7" width="15" style="213" customWidth="1"/>
    <col min="8" max="11" width="9.140625" style="213"/>
    <col min="12" max="12" width="28.42578125" style="213" customWidth="1"/>
    <col min="13" max="13" width="9.140625" style="213"/>
    <col min="14" max="14" width="0" style="213" hidden="1" customWidth="1"/>
    <col min="15" max="16384" width="9.140625" style="213"/>
  </cols>
  <sheetData>
    <row r="1" spans="1:20" ht="24.95" customHeight="1" x14ac:dyDescent="0.2">
      <c r="A1" s="994" t="s">
        <v>609</v>
      </c>
      <c r="B1" s="994"/>
      <c r="C1" s="994"/>
      <c r="D1" s="994"/>
      <c r="E1" s="994"/>
      <c r="F1" s="994"/>
      <c r="G1" s="994"/>
      <c r="H1" s="994"/>
      <c r="I1" s="994"/>
      <c r="J1" s="994"/>
      <c r="K1" s="994"/>
      <c r="L1" s="994"/>
      <c r="M1"/>
      <c r="N1"/>
    </row>
    <row r="2" spans="1:20" ht="24.95" customHeight="1" x14ac:dyDescent="0.2">
      <c r="A2" s="683" t="s">
        <v>464</v>
      </c>
      <c r="B2" s="690" t="s">
        <v>465</v>
      </c>
      <c r="C2" s="683"/>
      <c r="D2" s="683"/>
      <c r="E2" s="683"/>
      <c r="F2" s="683"/>
      <c r="G2" s="683"/>
      <c r="H2" s="683"/>
      <c r="I2" s="683"/>
      <c r="J2" s="683"/>
      <c r="K2" s="683"/>
      <c r="L2" s="683"/>
      <c r="M2"/>
      <c r="N2"/>
      <c r="O2" s="995" t="s">
        <v>555</v>
      </c>
      <c r="P2" s="995"/>
      <c r="Q2" s="995"/>
      <c r="R2" s="995"/>
    </row>
    <row r="3" spans="1:20" ht="20.100000000000001" customHeight="1" x14ac:dyDescent="0.2">
      <c r="A3" s="448" t="s">
        <v>315</v>
      </c>
      <c r="B3" s="448" t="s">
        <v>302</v>
      </c>
      <c r="C3" s="448" t="s">
        <v>301</v>
      </c>
      <c r="D3" s="448" t="s">
        <v>300</v>
      </c>
      <c r="E3" s="448" t="s">
        <v>298</v>
      </c>
      <c r="F3" s="448" t="s">
        <v>297</v>
      </c>
      <c r="G3" s="448" t="s">
        <v>415</v>
      </c>
      <c r="H3" s="448" t="s">
        <v>47</v>
      </c>
      <c r="I3" s="448" t="s">
        <v>296</v>
      </c>
      <c r="J3" s="448" t="s">
        <v>21</v>
      </c>
      <c r="K3" s="448" t="s">
        <v>22</v>
      </c>
      <c r="L3" s="448" t="s">
        <v>295</v>
      </c>
      <c r="M3"/>
      <c r="N3"/>
    </row>
    <row r="4" spans="1:20" ht="30.75" customHeight="1" x14ac:dyDescent="0.2">
      <c r="A4" s="448">
        <v>1.1000000000000001</v>
      </c>
      <c r="B4" s="586" t="s">
        <v>564</v>
      </c>
      <c r="C4" s="443" t="s">
        <v>416</v>
      </c>
      <c r="D4" s="640">
        <f>J23</f>
        <v>6.0488554895999984</v>
      </c>
      <c r="E4" s="448"/>
      <c r="F4" s="448"/>
      <c r="G4" s="448"/>
      <c r="H4" s="448"/>
      <c r="I4" s="448"/>
      <c r="J4" s="448"/>
      <c r="K4" s="448"/>
      <c r="L4" s="448"/>
      <c r="M4"/>
      <c r="N4"/>
    </row>
    <row r="5" spans="1:20" ht="12.75" customHeight="1" x14ac:dyDescent="0.2">
      <c r="A5" s="222" t="s">
        <v>420</v>
      </c>
      <c r="B5" s="610" t="s">
        <v>680</v>
      </c>
      <c r="C5" s="443"/>
      <c r="D5" s="449"/>
      <c r="E5" s="255"/>
      <c r="F5" s="258"/>
      <c r="G5" s="339"/>
      <c r="H5" s="258"/>
      <c r="I5" s="258"/>
      <c r="J5" s="222"/>
      <c r="K5" s="258"/>
      <c r="L5" s="453"/>
      <c r="M5"/>
      <c r="N5"/>
    </row>
    <row r="6" spans="1:20" ht="12.75" customHeight="1" x14ac:dyDescent="0.2">
      <c r="A6" s="222"/>
      <c r="B6" s="261" t="s">
        <v>636</v>
      </c>
      <c r="C6" s="482" t="s">
        <v>418</v>
      </c>
      <c r="D6" s="449"/>
      <c r="E6" s="255"/>
      <c r="F6" s="672">
        <v>1.4</v>
      </c>
      <c r="G6" s="258"/>
      <c r="H6" s="258"/>
      <c r="I6" s="258"/>
      <c r="J6" s="222"/>
      <c r="K6" s="258"/>
      <c r="L6" s="453"/>
      <c r="M6"/>
      <c r="N6"/>
    </row>
    <row r="7" spans="1:20" ht="12.75" customHeight="1" x14ac:dyDescent="0.2">
      <c r="A7" s="222"/>
      <c r="B7" s="261" t="s">
        <v>676</v>
      </c>
      <c r="C7" s="482" t="s">
        <v>33</v>
      </c>
      <c r="D7" s="449"/>
      <c r="E7" s="255"/>
      <c r="F7" s="258"/>
      <c r="G7" s="466">
        <v>2.6</v>
      </c>
      <c r="H7" s="258"/>
      <c r="I7" s="258"/>
      <c r="J7" s="222"/>
      <c r="K7" s="258"/>
      <c r="L7" s="613" t="s">
        <v>682</v>
      </c>
      <c r="M7"/>
      <c r="N7"/>
    </row>
    <row r="8" spans="1:20" ht="12.75" customHeight="1" x14ac:dyDescent="0.2">
      <c r="A8" s="222"/>
      <c r="B8" s="612" t="s">
        <v>677</v>
      </c>
      <c r="C8" s="482" t="s">
        <v>35</v>
      </c>
      <c r="D8" s="449">
        <v>11.43</v>
      </c>
      <c r="E8" s="255"/>
      <c r="F8" s="258"/>
      <c r="G8" s="339"/>
      <c r="H8" s="258"/>
      <c r="I8" s="258"/>
      <c r="J8" s="222"/>
      <c r="K8" s="258"/>
      <c r="L8" s="453"/>
      <c r="M8"/>
      <c r="N8"/>
    </row>
    <row r="9" spans="1:20" ht="12.75" customHeight="1" x14ac:dyDescent="0.2">
      <c r="A9" s="222"/>
      <c r="B9" s="261" t="s">
        <v>678</v>
      </c>
      <c r="C9" s="482" t="s">
        <v>35</v>
      </c>
      <c r="D9" s="454">
        <f>3.1416*F6*F6/4</f>
        <v>1.5393839999999996</v>
      </c>
      <c r="E9" s="255"/>
      <c r="F9" s="258"/>
      <c r="G9" s="339"/>
      <c r="H9" s="258"/>
      <c r="I9" s="258"/>
      <c r="J9" s="222"/>
      <c r="K9" s="258"/>
      <c r="L9" s="613" t="s">
        <v>597</v>
      </c>
      <c r="M9"/>
      <c r="N9"/>
    </row>
    <row r="10" spans="1:20" ht="12.75" customHeight="1" x14ac:dyDescent="0.2">
      <c r="A10" s="222"/>
      <c r="B10" s="261" t="s">
        <v>638</v>
      </c>
      <c r="C10" s="482" t="s">
        <v>33</v>
      </c>
      <c r="D10" s="254">
        <f>2*3.1416*F6/2</f>
        <v>4.3982399999999995</v>
      </c>
      <c r="E10" s="255"/>
      <c r="F10" s="258"/>
      <c r="G10" s="339"/>
      <c r="H10" s="258"/>
      <c r="I10" s="258"/>
      <c r="J10" s="222"/>
      <c r="K10" s="258"/>
      <c r="L10" s="613" t="s">
        <v>675</v>
      </c>
      <c r="M10"/>
      <c r="N10"/>
    </row>
    <row r="11" spans="1:20" ht="12.75" customHeight="1" x14ac:dyDescent="0.2">
      <c r="A11" s="222"/>
      <c r="B11" s="612" t="s">
        <v>679</v>
      </c>
      <c r="C11" s="482" t="s">
        <v>35</v>
      </c>
      <c r="D11" s="449">
        <f>D10*G7</f>
        <v>11.435423999999999</v>
      </c>
      <c r="E11" s="255"/>
      <c r="F11" s="258"/>
      <c r="G11" s="339"/>
      <c r="H11" s="258"/>
      <c r="I11" s="258"/>
      <c r="J11" s="222"/>
      <c r="K11" s="258"/>
      <c r="L11" s="675" t="s">
        <v>685</v>
      </c>
      <c r="M11"/>
      <c r="N11"/>
    </row>
    <row r="12" spans="1:20" ht="12.75" customHeight="1" x14ac:dyDescent="0.2">
      <c r="A12" s="222"/>
      <c r="B12" s="261"/>
      <c r="C12" s="482"/>
      <c r="D12" s="449"/>
      <c r="E12" s="255"/>
      <c r="F12" s="258"/>
      <c r="G12" s="339"/>
      <c r="H12" s="258"/>
      <c r="I12" s="258"/>
      <c r="J12" s="222"/>
      <c r="K12" s="258"/>
      <c r="L12" s="613"/>
      <c r="M12"/>
      <c r="N12"/>
    </row>
    <row r="13" spans="1:20" ht="12.2" customHeight="1" x14ac:dyDescent="0.2">
      <c r="A13" s="222"/>
      <c r="B13" s="261" t="s">
        <v>687</v>
      </c>
      <c r="C13" s="443" t="s">
        <v>416</v>
      </c>
      <c r="D13" s="458"/>
      <c r="E13" s="255"/>
      <c r="F13" s="255"/>
      <c r="G13" s="454"/>
      <c r="H13" s="258"/>
      <c r="I13" s="258"/>
      <c r="J13" s="458">
        <f>D9*G7</f>
        <v>4.0023983999999988</v>
      </c>
      <c r="K13" s="443" t="s">
        <v>416</v>
      </c>
      <c r="L13" s="572"/>
      <c r="M13"/>
      <c r="N13"/>
    </row>
    <row r="14" spans="1:20" ht="12.2" customHeight="1" x14ac:dyDescent="0.2">
      <c r="A14" s="222"/>
      <c r="B14" s="261"/>
      <c r="C14" s="450"/>
      <c r="D14" s="458"/>
      <c r="E14" s="255"/>
      <c r="F14" s="255"/>
      <c r="G14" s="454"/>
      <c r="H14" s="258"/>
      <c r="I14" s="258"/>
      <c r="J14" s="222"/>
      <c r="K14" s="443"/>
      <c r="L14" s="572"/>
      <c r="M14"/>
      <c r="N14"/>
    </row>
    <row r="15" spans="1:20" ht="12.75" customHeight="1" x14ac:dyDescent="0.2">
      <c r="A15" s="222" t="s">
        <v>612</v>
      </c>
      <c r="B15" s="610" t="s">
        <v>681</v>
      </c>
      <c r="C15" s="443" t="s">
        <v>416</v>
      </c>
      <c r="D15" s="449"/>
      <c r="E15" s="255"/>
      <c r="F15" s="258"/>
      <c r="G15" s="339"/>
      <c r="H15" s="258"/>
      <c r="I15" s="258"/>
      <c r="J15" s="222"/>
      <c r="K15" s="258"/>
      <c r="L15" s="572"/>
      <c r="M15"/>
      <c r="N15"/>
    </row>
    <row r="16" spans="1:20" ht="12.75" customHeight="1" x14ac:dyDescent="0.2">
      <c r="A16" s="222"/>
      <c r="B16" s="261" t="s">
        <v>684</v>
      </c>
      <c r="C16" s="443" t="s">
        <v>33</v>
      </c>
      <c r="D16" s="458"/>
      <c r="E16" s="255"/>
      <c r="F16" s="451">
        <f>F6+(0.25*2)+((0.48/2)*2)</f>
        <v>2.38</v>
      </c>
      <c r="G16" s="258"/>
      <c r="H16" s="258"/>
      <c r="I16" s="258"/>
      <c r="J16" s="222"/>
      <c r="K16" s="258"/>
      <c r="L16" s="468" t="s">
        <v>642</v>
      </c>
      <c r="M16"/>
      <c r="N16"/>
      <c r="O16" s="617" t="s">
        <v>686</v>
      </c>
      <c r="P16" s="436"/>
      <c r="Q16" s="436"/>
      <c r="R16" s="436"/>
      <c r="S16" s="436"/>
      <c r="T16" s="436"/>
    </row>
    <row r="17" spans="1:15" ht="12.75" customHeight="1" x14ac:dyDescent="0.2">
      <c r="A17" s="222"/>
      <c r="B17" s="261" t="s">
        <v>593</v>
      </c>
      <c r="C17" s="443" t="s">
        <v>33</v>
      </c>
      <c r="D17" s="458"/>
      <c r="E17" s="255"/>
      <c r="F17" s="255"/>
      <c r="G17" s="466">
        <v>0.46</v>
      </c>
      <c r="H17" s="258"/>
      <c r="I17" s="258"/>
      <c r="J17" s="222"/>
      <c r="K17" s="258"/>
      <c r="L17" s="613" t="s">
        <v>596</v>
      </c>
      <c r="M17"/>
      <c r="N17"/>
    </row>
    <row r="18" spans="1:15" ht="12.75" customHeight="1" x14ac:dyDescent="0.2">
      <c r="A18" s="222"/>
      <c r="B18" s="261" t="s">
        <v>595</v>
      </c>
      <c r="C18" s="450" t="s">
        <v>35</v>
      </c>
      <c r="D18" s="454">
        <f>3.1416*F16*F16/4</f>
        <v>4.4488197599999992</v>
      </c>
      <c r="E18" s="255"/>
      <c r="F18" s="255"/>
      <c r="G18" s="258"/>
      <c r="H18" s="258"/>
      <c r="I18" s="258"/>
      <c r="J18" s="222"/>
      <c r="K18" s="258"/>
      <c r="L18" s="613" t="s">
        <v>419</v>
      </c>
      <c r="M18"/>
      <c r="N18"/>
    </row>
    <row r="19" spans="1:15" ht="12.75" customHeight="1" x14ac:dyDescent="0.2">
      <c r="A19" s="222"/>
      <c r="B19" s="261"/>
      <c r="C19" s="450"/>
      <c r="D19" s="454"/>
      <c r="E19" s="255"/>
      <c r="F19" s="255"/>
      <c r="G19" s="258"/>
      <c r="H19" s="258"/>
      <c r="I19" s="258"/>
      <c r="J19" s="222"/>
      <c r="K19" s="258"/>
      <c r="L19" s="258"/>
      <c r="M19"/>
      <c r="N19" s="421"/>
      <c r="O19" s="674"/>
    </row>
    <row r="20" spans="1:15" ht="12.75" customHeight="1" x14ac:dyDescent="0.2">
      <c r="A20" s="222"/>
      <c r="B20" s="261" t="s">
        <v>688</v>
      </c>
      <c r="C20" s="443" t="s">
        <v>416</v>
      </c>
      <c r="D20" s="458"/>
      <c r="E20" s="255"/>
      <c r="F20" s="255"/>
      <c r="G20" s="454"/>
      <c r="H20" s="258"/>
      <c r="I20" s="258"/>
      <c r="J20" s="458">
        <f>D18*G17</f>
        <v>2.0464570895999996</v>
      </c>
      <c r="K20" s="443" t="s">
        <v>416</v>
      </c>
      <c r="L20" s="572"/>
      <c r="M20"/>
      <c r="N20" s="421"/>
    </row>
    <row r="21" spans="1:15" ht="12.75" customHeight="1" x14ac:dyDescent="0.2">
      <c r="A21" s="222"/>
      <c r="B21" s="261"/>
      <c r="C21" s="450"/>
      <c r="D21" s="458"/>
      <c r="E21" s="255"/>
      <c r="F21" s="255"/>
      <c r="G21" s="454"/>
      <c r="H21" s="258"/>
      <c r="I21" s="258"/>
      <c r="J21" s="458"/>
      <c r="K21" s="443"/>
      <c r="L21" s="572"/>
      <c r="M21"/>
      <c r="N21" s="421"/>
    </row>
    <row r="22" spans="1:15" ht="12.75" customHeight="1" x14ac:dyDescent="0.2">
      <c r="A22" s="222"/>
      <c r="B22" s="612" t="s">
        <v>611</v>
      </c>
      <c r="C22" s="443" t="s">
        <v>33</v>
      </c>
      <c r="D22" s="458"/>
      <c r="E22" s="255"/>
      <c r="F22" s="255"/>
      <c r="G22" s="454"/>
      <c r="H22" s="258"/>
      <c r="I22" s="258"/>
      <c r="J22" s="458">
        <f>G7+G17</f>
        <v>3.06</v>
      </c>
      <c r="K22" s="443" t="s">
        <v>33</v>
      </c>
      <c r="L22" s="572" t="s">
        <v>689</v>
      </c>
      <c r="M22"/>
      <c r="N22" s="421"/>
    </row>
    <row r="23" spans="1:15" x14ac:dyDescent="0.2">
      <c r="A23" s="222"/>
      <c r="B23" s="612" t="s">
        <v>617</v>
      </c>
      <c r="C23" s="443" t="s">
        <v>416</v>
      </c>
      <c r="D23" s="458"/>
      <c r="E23" s="616"/>
      <c r="F23" s="616"/>
      <c r="G23" s="459"/>
      <c r="H23" s="460"/>
      <c r="I23" s="460"/>
      <c r="J23" s="458">
        <f>J13+J20</f>
        <v>6.0488554895999984</v>
      </c>
      <c r="K23" s="443" t="s">
        <v>416</v>
      </c>
      <c r="L23" s="453"/>
      <c r="M23"/>
      <c r="N23" s="421"/>
    </row>
    <row r="24" spans="1:15" x14ac:dyDescent="0.2">
      <c r="A24" s="222"/>
      <c r="B24" s="612"/>
      <c r="C24" s="443"/>
      <c r="D24" s="458"/>
      <c r="E24" s="616"/>
      <c r="F24" s="616"/>
      <c r="G24" s="459"/>
      <c r="H24" s="460"/>
      <c r="I24" s="460"/>
      <c r="J24" s="458"/>
      <c r="K24" s="443"/>
      <c r="L24" s="453"/>
      <c r="M24"/>
      <c r="N24" s="421"/>
    </row>
    <row r="25" spans="1:15" x14ac:dyDescent="0.2">
      <c r="A25" s="222"/>
      <c r="B25" s="219"/>
      <c r="C25" s="443"/>
      <c r="D25" s="458"/>
      <c r="E25" s="616"/>
      <c r="F25" s="616"/>
      <c r="G25" s="459"/>
      <c r="H25" s="460"/>
      <c r="I25" s="460"/>
      <c r="J25" s="454"/>
      <c r="K25" s="222"/>
      <c r="L25" s="453"/>
      <c r="M25"/>
      <c r="N25" s="421"/>
    </row>
    <row r="26" spans="1:15" ht="28.5" customHeight="1" x14ac:dyDescent="0.2">
      <c r="A26" s="222" t="s">
        <v>8</v>
      </c>
      <c r="B26" s="610" t="s">
        <v>610</v>
      </c>
      <c r="C26" s="450" t="s">
        <v>35</v>
      </c>
      <c r="D26" s="458">
        <f>J30</f>
        <v>13.458614399999998</v>
      </c>
      <c r="E26" s="616"/>
      <c r="F26" s="255"/>
      <c r="G26" s="452"/>
      <c r="H26" s="460"/>
      <c r="I26" s="460"/>
      <c r="J26" s="454"/>
      <c r="K26" s="222"/>
      <c r="L26" s="453"/>
      <c r="M26"/>
      <c r="N26" s="421"/>
    </row>
    <row r="27" spans="1:15" x14ac:dyDescent="0.2">
      <c r="A27" s="222"/>
      <c r="B27" s="261" t="s">
        <v>613</v>
      </c>
      <c r="C27" s="443" t="s">
        <v>33</v>
      </c>
      <c r="D27" s="458"/>
      <c r="E27" s="616"/>
      <c r="F27" s="255"/>
      <c r="G27" s="452">
        <f>J22</f>
        <v>3.06</v>
      </c>
      <c r="H27" s="460"/>
      <c r="I27" s="460"/>
      <c r="J27" s="454"/>
      <c r="K27" s="443"/>
      <c r="L27" s="453"/>
      <c r="M27"/>
      <c r="N27" s="421"/>
    </row>
    <row r="28" spans="1:15" x14ac:dyDescent="0.2">
      <c r="A28" s="222"/>
      <c r="B28" s="261" t="s">
        <v>594</v>
      </c>
      <c r="C28" s="443" t="s">
        <v>33</v>
      </c>
      <c r="D28" s="458"/>
      <c r="E28" s="616"/>
      <c r="F28" s="255">
        <f>F6</f>
        <v>1.4</v>
      </c>
      <c r="G28" s="452"/>
      <c r="H28" s="460"/>
      <c r="I28" s="460"/>
      <c r="J28" s="454"/>
      <c r="K28" s="222"/>
      <c r="L28" s="453"/>
      <c r="M28"/>
      <c r="N28" s="421"/>
    </row>
    <row r="29" spans="1:15" x14ac:dyDescent="0.2">
      <c r="A29" s="222"/>
      <c r="B29" s="261" t="s">
        <v>615</v>
      </c>
      <c r="C29" s="450" t="s">
        <v>35</v>
      </c>
      <c r="D29" s="587">
        <f>2*3.1416*F6/2</f>
        <v>4.3982399999999995</v>
      </c>
      <c r="E29" s="616"/>
      <c r="F29" s="255"/>
      <c r="G29" s="452"/>
      <c r="H29" s="460"/>
      <c r="I29" s="460"/>
      <c r="J29" s="454"/>
      <c r="K29" s="222"/>
      <c r="L29" s="453" t="s">
        <v>675</v>
      </c>
      <c r="M29"/>
      <c r="N29" s="421"/>
    </row>
    <row r="30" spans="1:15" x14ac:dyDescent="0.2">
      <c r="A30" s="222"/>
      <c r="B30" s="261" t="s">
        <v>614</v>
      </c>
      <c r="C30" s="450" t="s">
        <v>35</v>
      </c>
      <c r="D30" s="454"/>
      <c r="E30" s="616"/>
      <c r="F30" s="255"/>
      <c r="G30" s="452"/>
      <c r="H30" s="460"/>
      <c r="I30" s="460"/>
      <c r="J30" s="458">
        <f>D29*G27</f>
        <v>13.458614399999998</v>
      </c>
      <c r="K30" s="222"/>
      <c r="L30" s="453"/>
      <c r="M30"/>
      <c r="N30" s="421"/>
    </row>
    <row r="31" spans="1:15" x14ac:dyDescent="0.2">
      <c r="A31" s="222"/>
      <c r="B31" s="219"/>
      <c r="C31" s="443"/>
      <c r="D31" s="458"/>
      <c r="E31" s="616"/>
      <c r="F31" s="255"/>
      <c r="G31" s="452"/>
      <c r="H31" s="460"/>
      <c r="I31" s="460"/>
      <c r="J31" s="454"/>
      <c r="K31" s="222"/>
      <c r="L31" s="453"/>
      <c r="M31"/>
      <c r="N31" s="421"/>
    </row>
    <row r="32" spans="1:15" x14ac:dyDescent="0.2">
      <c r="A32" s="222"/>
      <c r="B32" s="219"/>
      <c r="C32" s="443"/>
      <c r="D32" s="458"/>
      <c r="E32" s="616"/>
      <c r="F32" s="616"/>
      <c r="G32" s="479"/>
      <c r="H32" s="460"/>
      <c r="I32" s="460"/>
      <c r="J32" s="458"/>
      <c r="K32" s="222"/>
      <c r="L32" s="453"/>
      <c r="M32" s="212"/>
      <c r="N32" s="212"/>
    </row>
    <row r="33" spans="1:20" ht="51" x14ac:dyDescent="0.2">
      <c r="A33" s="222" t="s">
        <v>23</v>
      </c>
      <c r="B33" s="610" t="s">
        <v>600</v>
      </c>
      <c r="C33" s="443" t="s">
        <v>35</v>
      </c>
      <c r="D33" s="449">
        <f>J39</f>
        <v>3.2044320000000002</v>
      </c>
      <c r="E33" s="255"/>
      <c r="F33" s="255"/>
      <c r="G33" s="339"/>
      <c r="H33" s="258"/>
      <c r="I33" s="258"/>
      <c r="J33" s="222"/>
      <c r="K33" s="258"/>
      <c r="L33" s="453"/>
      <c r="M33" s="212"/>
      <c r="N33" s="212"/>
      <c r="P33" s="480"/>
    </row>
    <row r="34" spans="1:20" ht="14.25" x14ac:dyDescent="0.2">
      <c r="A34" s="222"/>
      <c r="B34" s="261" t="s">
        <v>466</v>
      </c>
      <c r="C34" s="443" t="s">
        <v>33</v>
      </c>
      <c r="D34" s="258"/>
      <c r="E34" s="255"/>
      <c r="F34" s="466">
        <v>0.14000000000000001</v>
      </c>
      <c r="G34" s="266"/>
      <c r="H34" s="258"/>
      <c r="I34" s="258"/>
      <c r="J34" s="222"/>
      <c r="K34" s="258"/>
      <c r="L34" s="613" t="s">
        <v>576</v>
      </c>
      <c r="M34" s="212"/>
      <c r="N34" s="212"/>
      <c r="P34" s="480"/>
    </row>
    <row r="35" spans="1:20" x14ac:dyDescent="0.2">
      <c r="A35" s="222"/>
      <c r="B35" s="261" t="s">
        <v>467</v>
      </c>
      <c r="C35" s="450" t="s">
        <v>418</v>
      </c>
      <c r="D35" s="258"/>
      <c r="E35" s="255"/>
      <c r="F35" s="454">
        <f>(0.22-(F34/2))*2+F6</f>
        <v>1.7</v>
      </c>
      <c r="G35" s="266"/>
      <c r="H35" s="258"/>
      <c r="I35" s="258"/>
      <c r="J35" s="222"/>
      <c r="K35" s="258"/>
      <c r="L35" s="467" t="s">
        <v>693</v>
      </c>
      <c r="M35" s="212"/>
      <c r="N35" s="212"/>
      <c r="O35" s="996" t="s">
        <v>692</v>
      </c>
      <c r="P35" s="996"/>
      <c r="Q35" s="996"/>
      <c r="R35" s="996"/>
      <c r="S35" s="996"/>
      <c r="T35" s="996"/>
    </row>
    <row r="36" spans="1:20" ht="15.75" customHeight="1" x14ac:dyDescent="0.2">
      <c r="A36" s="222"/>
      <c r="B36" s="261" t="s">
        <v>468</v>
      </c>
      <c r="C36" s="443" t="s">
        <v>33</v>
      </c>
      <c r="D36" s="254">
        <f>2*3.1416*F35/2</f>
        <v>5.3407200000000001</v>
      </c>
      <c r="E36" s="222"/>
      <c r="F36" s="258"/>
      <c r="G36" s="463"/>
      <c r="H36" s="222"/>
      <c r="I36" s="222"/>
      <c r="J36" s="222"/>
      <c r="K36" s="222"/>
      <c r="L36" s="613" t="s">
        <v>690</v>
      </c>
      <c r="M36" s="212"/>
    </row>
    <row r="37" spans="1:20" ht="15.75" customHeight="1" x14ac:dyDescent="0.2">
      <c r="A37" s="222"/>
      <c r="B37" s="261" t="s">
        <v>691</v>
      </c>
      <c r="C37" s="443" t="s">
        <v>33</v>
      </c>
      <c r="D37" s="222"/>
      <c r="E37" s="255"/>
      <c r="F37" s="255"/>
      <c r="G37" s="466">
        <v>0.6</v>
      </c>
      <c r="H37" s="222"/>
      <c r="I37" s="222"/>
      <c r="J37" s="222"/>
      <c r="K37" s="222"/>
      <c r="L37" s="613" t="s">
        <v>576</v>
      </c>
      <c r="M37" s="212"/>
      <c r="N37" s="477">
        <f>2*3.1416*F35/2</f>
        <v>5.3407200000000001</v>
      </c>
    </row>
    <row r="38" spans="1:20" ht="15.75" customHeight="1" x14ac:dyDescent="0.2">
      <c r="A38" s="222"/>
      <c r="B38" s="258"/>
      <c r="C38" s="443"/>
      <c r="D38" s="222"/>
      <c r="E38" s="255"/>
      <c r="F38" s="255"/>
      <c r="G38" s="454"/>
      <c r="H38" s="222"/>
      <c r="I38" s="222"/>
      <c r="J38" s="222"/>
      <c r="K38" s="222"/>
      <c r="L38" s="258"/>
      <c r="M38" s="212"/>
      <c r="N38" s="477"/>
    </row>
    <row r="39" spans="1:20" ht="16.5" customHeight="1" x14ac:dyDescent="0.2">
      <c r="A39" s="222"/>
      <c r="B39" s="261" t="s">
        <v>470</v>
      </c>
      <c r="C39" s="443" t="s">
        <v>35</v>
      </c>
      <c r="D39" s="258"/>
      <c r="E39" s="255"/>
      <c r="F39" s="255"/>
      <c r="G39" s="463"/>
      <c r="H39" s="222"/>
      <c r="I39" s="222"/>
      <c r="J39" s="458">
        <f>D36*G37</f>
        <v>3.2044320000000002</v>
      </c>
      <c r="K39" s="222" t="s">
        <v>35</v>
      </c>
      <c r="L39" s="258" t="s">
        <v>471</v>
      </c>
      <c r="M39" s="212"/>
      <c r="N39" s="212"/>
      <c r="O39" s="676"/>
    </row>
    <row r="40" spans="1:20" ht="12.75" customHeight="1" x14ac:dyDescent="0.2">
      <c r="A40" s="222"/>
      <c r="B40" s="258"/>
      <c r="C40" s="258"/>
      <c r="D40" s="258"/>
      <c r="E40" s="258"/>
      <c r="F40" s="255"/>
      <c r="G40" s="266"/>
      <c r="H40" s="222"/>
      <c r="I40" s="222"/>
      <c r="J40" s="222"/>
      <c r="K40" s="222"/>
      <c r="L40" s="258"/>
      <c r="M40" s="212"/>
      <c r="N40" s="212"/>
    </row>
    <row r="41" spans="1:20" ht="38.25" x14ac:dyDescent="0.2">
      <c r="A41" s="222" t="s">
        <v>24</v>
      </c>
      <c r="B41" s="586" t="s">
        <v>265</v>
      </c>
      <c r="C41" s="443" t="s">
        <v>35</v>
      </c>
      <c r="D41" s="449">
        <f>J45+J50+J55</f>
        <v>4.4975145599999991</v>
      </c>
      <c r="E41" s="255"/>
      <c r="F41" s="255"/>
      <c r="G41" s="339"/>
      <c r="H41" s="258"/>
      <c r="I41" s="258"/>
      <c r="J41" s="222"/>
      <c r="K41" s="258"/>
      <c r="L41" s="453"/>
      <c r="M41" s="212"/>
      <c r="N41" s="212"/>
      <c r="P41" s="674"/>
      <c r="Q41" s="674"/>
      <c r="R41" s="674"/>
    </row>
    <row r="42" spans="1:20" ht="19.5" customHeight="1" x14ac:dyDescent="0.2">
      <c r="A42" s="222"/>
      <c r="B42" s="481" t="s">
        <v>698</v>
      </c>
      <c r="C42" s="482" t="s">
        <v>418</v>
      </c>
      <c r="D42" s="258"/>
      <c r="E42" s="255"/>
      <c r="F42" s="222">
        <f>(0.22-F34)*2+F6</f>
        <v>1.5599999999999998</v>
      </c>
      <c r="G42" s="258"/>
      <c r="H42" s="258"/>
      <c r="I42" s="258"/>
      <c r="J42" s="222"/>
      <c r="K42" s="258"/>
      <c r="L42" s="258" t="s">
        <v>694</v>
      </c>
      <c r="N42" s="677"/>
      <c r="O42" s="617" t="s">
        <v>598</v>
      </c>
    </row>
    <row r="43" spans="1:20" x14ac:dyDescent="0.2">
      <c r="A43" s="222"/>
      <c r="B43" s="481" t="s">
        <v>700</v>
      </c>
      <c r="C43" s="222" t="s">
        <v>33</v>
      </c>
      <c r="D43" s="454">
        <f>2*3.1416*F42/2</f>
        <v>4.9008959999999995</v>
      </c>
      <c r="E43" s="258"/>
      <c r="F43" s="255"/>
      <c r="G43" s="339"/>
      <c r="H43" s="258"/>
      <c r="I43" s="258"/>
      <c r="J43" s="222"/>
      <c r="K43" s="258"/>
      <c r="L43" s="258" t="s">
        <v>472</v>
      </c>
      <c r="M43" s="212"/>
      <c r="N43" s="477">
        <f>2*3.1416*F42/2</f>
        <v>4.9008959999999995</v>
      </c>
    </row>
    <row r="44" spans="1:20" x14ac:dyDescent="0.2">
      <c r="A44" s="222"/>
      <c r="B44" s="481" t="s">
        <v>701</v>
      </c>
      <c r="C44" s="222" t="s">
        <v>33</v>
      </c>
      <c r="D44" s="222"/>
      <c r="E44" s="255"/>
      <c r="F44" s="255"/>
      <c r="G44" s="254">
        <f>G37</f>
        <v>0.6</v>
      </c>
      <c r="H44" s="258"/>
      <c r="I44" s="258"/>
      <c r="J44" s="222"/>
      <c r="K44" s="258"/>
      <c r="L44" s="258"/>
      <c r="M44" s="212"/>
      <c r="N44" s="212">
        <f>1.73+0.5</f>
        <v>2.23</v>
      </c>
      <c r="O44" s="859"/>
      <c r="P44" s="859"/>
      <c r="Q44" s="859"/>
    </row>
    <row r="45" spans="1:20" x14ac:dyDescent="0.2">
      <c r="A45" s="222"/>
      <c r="B45" s="481" t="s">
        <v>702</v>
      </c>
      <c r="C45" s="222"/>
      <c r="D45" s="222"/>
      <c r="E45" s="255"/>
      <c r="F45" s="255"/>
      <c r="G45" s="339"/>
      <c r="H45" s="258"/>
      <c r="I45" s="258"/>
      <c r="J45" s="449">
        <f>D43*G44</f>
        <v>2.9405375999999994</v>
      </c>
      <c r="K45" s="222" t="s">
        <v>35</v>
      </c>
      <c r="L45" s="258"/>
      <c r="M45" s="212"/>
      <c r="N45" s="212"/>
      <c r="O45" s="859"/>
      <c r="P45" s="859"/>
      <c r="Q45" s="859"/>
      <c r="R45" s="674"/>
    </row>
    <row r="46" spans="1:20" ht="18" customHeight="1" x14ac:dyDescent="0.2">
      <c r="A46" s="222"/>
      <c r="B46" s="481"/>
      <c r="C46" s="222"/>
      <c r="D46" s="254"/>
      <c r="E46" s="255"/>
      <c r="F46" s="255"/>
      <c r="G46" s="339"/>
      <c r="H46" s="258"/>
      <c r="I46" s="258"/>
      <c r="J46" s="222"/>
      <c r="K46" s="258"/>
      <c r="L46" s="258"/>
      <c r="M46" s="212"/>
      <c r="N46" s="212"/>
      <c r="P46" s="676"/>
      <c r="Q46" s="676"/>
      <c r="R46" s="676"/>
      <c r="S46" s="674"/>
    </row>
    <row r="47" spans="1:20" x14ac:dyDescent="0.2">
      <c r="A47" s="222"/>
      <c r="B47" s="481" t="s">
        <v>699</v>
      </c>
      <c r="C47" s="482" t="s">
        <v>418</v>
      </c>
      <c r="D47" s="258"/>
      <c r="E47" s="255"/>
      <c r="F47" s="254">
        <f>F35</f>
        <v>1.7</v>
      </c>
      <c r="G47" s="339"/>
      <c r="H47" s="258"/>
      <c r="I47" s="258"/>
      <c r="J47" s="222"/>
      <c r="K47" s="258"/>
      <c r="L47" s="258" t="s">
        <v>599</v>
      </c>
      <c r="M47" s="212"/>
      <c r="N47" s="212"/>
    </row>
    <row r="48" spans="1:20" x14ac:dyDescent="0.2">
      <c r="A48" s="222"/>
      <c r="B48" s="481" t="s">
        <v>703</v>
      </c>
      <c r="C48" s="222" t="s">
        <v>33</v>
      </c>
      <c r="D48" s="254">
        <f>2*3.1416*F47/2</f>
        <v>5.3407200000000001</v>
      </c>
      <c r="E48" s="258"/>
      <c r="F48" s="255"/>
      <c r="G48" s="339"/>
      <c r="H48" s="258"/>
      <c r="I48" s="258"/>
      <c r="J48" s="222"/>
      <c r="K48" s="258"/>
      <c r="L48" s="258" t="s">
        <v>601</v>
      </c>
      <c r="M48" s="212"/>
      <c r="N48" s="483">
        <f>2*3.1416*F47/2</f>
        <v>5.3407200000000001</v>
      </c>
      <c r="P48" s="676"/>
      <c r="Q48" s="633"/>
      <c r="R48" s="633"/>
    </row>
    <row r="49" spans="1:18" x14ac:dyDescent="0.2">
      <c r="A49" s="222"/>
      <c r="B49" s="481" t="s">
        <v>704</v>
      </c>
      <c r="C49" s="222" t="s">
        <v>33</v>
      </c>
      <c r="D49" s="222"/>
      <c r="E49" s="255"/>
      <c r="F49" s="255"/>
      <c r="G49" s="254">
        <f>F34</f>
        <v>0.14000000000000001</v>
      </c>
      <c r="H49" s="258"/>
      <c r="I49" s="258"/>
      <c r="J49" s="222"/>
      <c r="K49" s="258"/>
      <c r="L49" s="258" t="s">
        <v>436</v>
      </c>
      <c r="M49" s="212"/>
      <c r="P49" s="676"/>
      <c r="Q49" s="633"/>
      <c r="R49" s="633"/>
    </row>
    <row r="50" spans="1:18" x14ac:dyDescent="0.2">
      <c r="A50" s="222"/>
      <c r="B50" s="481" t="s">
        <v>705</v>
      </c>
      <c r="C50" s="222" t="s">
        <v>35</v>
      </c>
      <c r="D50" s="222"/>
      <c r="E50" s="255"/>
      <c r="F50" s="255"/>
      <c r="G50" s="339"/>
      <c r="H50" s="258"/>
      <c r="I50" s="258"/>
      <c r="J50" s="449">
        <f>D48*G49</f>
        <v>0.74770080000000005</v>
      </c>
      <c r="K50" s="222" t="s">
        <v>35</v>
      </c>
      <c r="L50" s="258"/>
      <c r="M50" s="212"/>
      <c r="N50" s="477">
        <f>D48*G49</f>
        <v>0.74770080000000005</v>
      </c>
    </row>
    <row r="51" spans="1:18" x14ac:dyDescent="0.2">
      <c r="A51" s="222"/>
      <c r="B51" s="481"/>
      <c r="C51" s="222"/>
      <c r="D51" s="254"/>
      <c r="E51" s="255"/>
      <c r="F51" s="255"/>
      <c r="G51" s="339"/>
      <c r="H51" s="258"/>
      <c r="I51" s="258"/>
      <c r="J51" s="222"/>
      <c r="K51" s="258"/>
      <c r="L51" s="258"/>
      <c r="M51" s="212"/>
      <c r="N51" s="212"/>
    </row>
    <row r="52" spans="1:18" x14ac:dyDescent="0.2">
      <c r="A52" s="222"/>
      <c r="B52" s="481" t="s">
        <v>706</v>
      </c>
      <c r="C52" s="482" t="s">
        <v>418</v>
      </c>
      <c r="D52" s="258"/>
      <c r="E52" s="255"/>
      <c r="F52" s="222">
        <f>(0.22*2)+F6</f>
        <v>1.8399999999999999</v>
      </c>
      <c r="G52" s="339"/>
      <c r="H52" s="258"/>
      <c r="I52" s="258"/>
      <c r="J52" s="222"/>
      <c r="K52" s="258"/>
      <c r="L52" s="258" t="s">
        <v>695</v>
      </c>
      <c r="M52" s="212"/>
      <c r="N52" s="212"/>
    </row>
    <row r="53" spans="1:18" x14ac:dyDescent="0.2">
      <c r="A53" s="222"/>
      <c r="B53" s="481" t="s">
        <v>707</v>
      </c>
      <c r="C53" s="222" t="s">
        <v>33</v>
      </c>
      <c r="D53" s="254">
        <f>2*3.1416*F52/2</f>
        <v>5.780543999999999</v>
      </c>
      <c r="E53" s="258"/>
      <c r="F53" s="255"/>
      <c r="G53" s="339"/>
      <c r="H53" s="258"/>
      <c r="I53" s="258"/>
      <c r="J53" s="222"/>
      <c r="K53" s="258"/>
      <c r="L53" s="258" t="s">
        <v>602</v>
      </c>
      <c r="M53" s="212"/>
      <c r="N53" s="484">
        <f>2*3.1416*F52/2</f>
        <v>5.780543999999999</v>
      </c>
    </row>
    <row r="54" spans="1:18" x14ac:dyDescent="0.2">
      <c r="A54" s="222"/>
      <c r="B54" s="481" t="s">
        <v>708</v>
      </c>
      <c r="C54" s="222" t="s">
        <v>33</v>
      </c>
      <c r="D54" s="222"/>
      <c r="E54" s="255"/>
      <c r="F54" s="255"/>
      <c r="G54" s="254">
        <f>F34</f>
        <v>0.14000000000000001</v>
      </c>
      <c r="H54" s="258"/>
      <c r="I54" s="258"/>
      <c r="J54" s="222"/>
      <c r="K54" s="258"/>
      <c r="L54" s="258"/>
      <c r="M54" s="212"/>
      <c r="N54" s="472"/>
    </row>
    <row r="55" spans="1:18" x14ac:dyDescent="0.2">
      <c r="A55" s="222"/>
      <c r="B55" s="481" t="s">
        <v>709</v>
      </c>
      <c r="C55" s="222" t="s">
        <v>35</v>
      </c>
      <c r="D55" s="222"/>
      <c r="E55" s="255"/>
      <c r="F55" s="255"/>
      <c r="G55" s="339"/>
      <c r="H55" s="258"/>
      <c r="I55" s="258"/>
      <c r="J55" s="449">
        <f>D53*G54</f>
        <v>0.80927615999999991</v>
      </c>
      <c r="K55" s="222" t="s">
        <v>35</v>
      </c>
      <c r="L55" s="258"/>
      <c r="M55" s="212"/>
      <c r="N55" s="484">
        <f>D53*G54</f>
        <v>0.80927615999999991</v>
      </c>
    </row>
    <row r="56" spans="1:18" x14ac:dyDescent="0.2">
      <c r="A56" s="222"/>
      <c r="B56" s="613"/>
      <c r="C56" s="222"/>
      <c r="D56" s="222"/>
      <c r="E56" s="255"/>
      <c r="F56" s="255"/>
      <c r="G56" s="339"/>
      <c r="H56" s="258"/>
      <c r="I56" s="258"/>
      <c r="J56" s="254"/>
      <c r="K56" s="222"/>
      <c r="L56" s="258"/>
      <c r="M56" s="212"/>
      <c r="N56" s="484"/>
    </row>
    <row r="57" spans="1:18" x14ac:dyDescent="0.2">
      <c r="A57" s="222"/>
      <c r="B57" s="261" t="s">
        <v>710</v>
      </c>
      <c r="C57" s="222" t="s">
        <v>35</v>
      </c>
      <c r="D57" s="222"/>
      <c r="E57" s="255"/>
      <c r="F57" s="255"/>
      <c r="G57" s="266"/>
      <c r="H57" s="258"/>
      <c r="I57" s="258"/>
      <c r="J57" s="449">
        <f>J45+J50+J55</f>
        <v>4.4975145599999991</v>
      </c>
      <c r="K57" s="443" t="s">
        <v>35</v>
      </c>
      <c r="L57" s="258"/>
      <c r="M57" s="212"/>
      <c r="N57" s="212"/>
    </row>
    <row r="58" spans="1:18" x14ac:dyDescent="0.2">
      <c r="A58" s="222"/>
      <c r="B58" s="219"/>
      <c r="C58" s="258"/>
      <c r="D58" s="254"/>
      <c r="E58" s="255"/>
      <c r="F58" s="255"/>
      <c r="G58" s="266"/>
      <c r="H58" s="258"/>
      <c r="I58" s="258"/>
      <c r="J58" s="222"/>
      <c r="K58" s="258"/>
      <c r="L58" s="453"/>
      <c r="M58" s="212"/>
      <c r="N58" s="212"/>
    </row>
    <row r="59" spans="1:18" ht="51" x14ac:dyDescent="0.2">
      <c r="A59" s="222" t="s">
        <v>25</v>
      </c>
      <c r="B59" s="610" t="s">
        <v>369</v>
      </c>
      <c r="C59" s="443" t="s">
        <v>35</v>
      </c>
      <c r="D59" s="449">
        <f>J60</f>
        <v>4.4975145599999991</v>
      </c>
      <c r="E59" s="255"/>
      <c r="F59" s="255"/>
      <c r="G59" s="339"/>
      <c r="H59" s="258"/>
      <c r="I59" s="258"/>
      <c r="J59" s="222"/>
      <c r="K59" s="258"/>
      <c r="L59" s="453"/>
      <c r="M59" s="212"/>
      <c r="N59" s="212"/>
    </row>
    <row r="60" spans="1:18" x14ac:dyDescent="0.2">
      <c r="A60" s="222"/>
      <c r="B60" s="394" t="s">
        <v>623</v>
      </c>
      <c r="C60" s="222" t="s">
        <v>35</v>
      </c>
      <c r="D60" s="222"/>
      <c r="E60" s="255"/>
      <c r="F60" s="255"/>
      <c r="G60" s="266"/>
      <c r="H60" s="258"/>
      <c r="I60" s="258"/>
      <c r="J60" s="449">
        <f>D41</f>
        <v>4.4975145599999991</v>
      </c>
      <c r="K60" s="443" t="s">
        <v>35</v>
      </c>
      <c r="L60" s="453"/>
      <c r="M60" s="212"/>
      <c r="N60" s="212"/>
    </row>
    <row r="61" spans="1:18" x14ac:dyDescent="0.2">
      <c r="A61" s="222"/>
      <c r="B61" s="394"/>
      <c r="C61" s="222"/>
      <c r="D61" s="222"/>
      <c r="E61" s="255"/>
      <c r="F61" s="255"/>
      <c r="G61" s="266"/>
      <c r="H61" s="258"/>
      <c r="I61" s="258"/>
      <c r="J61" s="449"/>
      <c r="K61" s="443"/>
      <c r="L61" s="453"/>
      <c r="M61" s="212"/>
      <c r="N61" s="212"/>
    </row>
    <row r="62" spans="1:18" ht="38.25" x14ac:dyDescent="0.2">
      <c r="A62" s="222" t="s">
        <v>26</v>
      </c>
      <c r="B62" s="610" t="s">
        <v>412</v>
      </c>
      <c r="C62" s="443" t="s">
        <v>416</v>
      </c>
      <c r="D62" s="449">
        <f>J66</f>
        <v>0.1437679936</v>
      </c>
      <c r="E62" s="255"/>
      <c r="F62" s="255"/>
      <c r="G62" s="474"/>
      <c r="H62" s="258"/>
      <c r="I62" s="258"/>
      <c r="J62" s="458"/>
      <c r="K62" s="443"/>
      <c r="L62" s="222" t="s">
        <v>616</v>
      </c>
      <c r="M62" s="212"/>
      <c r="N62" s="212"/>
    </row>
    <row r="63" spans="1:18" x14ac:dyDescent="0.2">
      <c r="A63" s="222"/>
      <c r="B63" s="394" t="s">
        <v>478</v>
      </c>
      <c r="C63" s="222" t="s">
        <v>33</v>
      </c>
      <c r="D63" s="254"/>
      <c r="E63" s="255"/>
      <c r="F63" s="678">
        <f>F52-((F34/3)*2)</f>
        <v>1.7466666666666666</v>
      </c>
      <c r="G63" s="474"/>
      <c r="H63" s="258"/>
      <c r="I63" s="258"/>
      <c r="J63" s="458"/>
      <c r="K63" s="443"/>
      <c r="L63" s="679" t="s">
        <v>607</v>
      </c>
      <c r="M63" s="212"/>
      <c r="N63" s="212"/>
      <c r="P63" s="674"/>
    </row>
    <row r="64" spans="1:18" x14ac:dyDescent="0.2">
      <c r="A64" s="222"/>
      <c r="B64" s="394" t="s">
        <v>479</v>
      </c>
      <c r="C64" s="222" t="s">
        <v>35</v>
      </c>
      <c r="D64" s="254">
        <f>3.1416*F63*F63/4</f>
        <v>2.3961332266666666</v>
      </c>
      <c r="E64" s="255"/>
      <c r="F64" s="255"/>
      <c r="G64" s="474"/>
      <c r="H64" s="258"/>
      <c r="I64" s="258"/>
      <c r="J64" s="458"/>
      <c r="K64" s="443"/>
      <c r="L64" s="453" t="s">
        <v>606</v>
      </c>
      <c r="M64" s="212"/>
      <c r="N64" s="212"/>
    </row>
    <row r="65" spans="1:19" x14ac:dyDescent="0.2">
      <c r="A65" s="222"/>
      <c r="B65" s="394" t="s">
        <v>513</v>
      </c>
      <c r="C65" s="222" t="s">
        <v>33</v>
      </c>
      <c r="D65" s="254"/>
      <c r="E65" s="255"/>
      <c r="F65" s="255">
        <v>0.06</v>
      </c>
      <c r="G65" s="474"/>
      <c r="H65" s="258"/>
      <c r="I65" s="258"/>
      <c r="J65" s="458"/>
      <c r="K65" s="443"/>
      <c r="L65" s="453"/>
      <c r="M65" s="212"/>
      <c r="N65" s="212"/>
    </row>
    <row r="66" spans="1:19" x14ac:dyDescent="0.2">
      <c r="A66" s="222"/>
      <c r="B66" s="394" t="s">
        <v>605</v>
      </c>
      <c r="C66" s="222" t="s">
        <v>416</v>
      </c>
      <c r="D66" s="254"/>
      <c r="E66" s="255"/>
      <c r="F66" s="255"/>
      <c r="G66" s="474"/>
      <c r="H66" s="258"/>
      <c r="I66" s="258"/>
      <c r="J66" s="458">
        <f>D64*F65</f>
        <v>0.1437679936</v>
      </c>
      <c r="K66" s="222" t="s">
        <v>416</v>
      </c>
      <c r="L66" s="453"/>
      <c r="M66" s="212"/>
      <c r="N66" s="212"/>
    </row>
    <row r="67" spans="1:19" x14ac:dyDescent="0.2">
      <c r="A67" s="222"/>
      <c r="B67" s="610"/>
      <c r="C67" s="222"/>
      <c r="D67" s="254"/>
      <c r="E67" s="255"/>
      <c r="F67" s="255"/>
      <c r="G67" s="474"/>
      <c r="H67" s="258"/>
      <c r="I67" s="258"/>
      <c r="J67" s="458"/>
      <c r="K67" s="443"/>
      <c r="L67" s="453"/>
      <c r="M67" s="212"/>
      <c r="N67" s="212"/>
    </row>
    <row r="68" spans="1:19" x14ac:dyDescent="0.2">
      <c r="A68" s="222" t="s">
        <v>27</v>
      </c>
      <c r="B68" s="613" t="s">
        <v>619</v>
      </c>
      <c r="C68" s="222" t="s">
        <v>416</v>
      </c>
      <c r="D68" s="458">
        <f>J72</f>
        <v>0.15393839999999998</v>
      </c>
      <c r="E68" s="255"/>
      <c r="F68" s="255"/>
      <c r="G68" s="266"/>
      <c r="H68" s="258"/>
      <c r="I68" s="258"/>
      <c r="J68" s="449"/>
      <c r="K68" s="443"/>
      <c r="L68" s="453"/>
      <c r="M68" s="212"/>
      <c r="N68" s="212"/>
    </row>
    <row r="69" spans="1:19" x14ac:dyDescent="0.2">
      <c r="A69" s="222"/>
      <c r="B69" s="394" t="s">
        <v>696</v>
      </c>
      <c r="C69" s="482" t="s">
        <v>418</v>
      </c>
      <c r="D69" s="258"/>
      <c r="E69" s="255"/>
      <c r="F69" s="254">
        <f>F6</f>
        <v>1.4</v>
      </c>
      <c r="G69" s="474"/>
      <c r="H69" s="258"/>
      <c r="I69" s="258"/>
      <c r="J69" s="222"/>
      <c r="K69" s="222"/>
      <c r="L69" s="453"/>
      <c r="M69" s="212"/>
      <c r="N69" s="212"/>
    </row>
    <row r="70" spans="1:19" x14ac:dyDescent="0.2">
      <c r="A70" s="222"/>
      <c r="B70" s="394" t="s">
        <v>697</v>
      </c>
      <c r="C70" s="222" t="s">
        <v>35</v>
      </c>
      <c r="D70" s="485">
        <f>3.1416*F6*F6/4</f>
        <v>1.5393839999999996</v>
      </c>
      <c r="E70" s="255"/>
      <c r="F70" s="255"/>
      <c r="G70" s="474"/>
      <c r="H70" s="258"/>
      <c r="I70" s="258"/>
      <c r="J70" s="222"/>
      <c r="K70" s="222"/>
      <c r="L70" s="453" t="s">
        <v>624</v>
      </c>
      <c r="M70" s="212"/>
      <c r="N70" s="212"/>
    </row>
    <row r="71" spans="1:19" x14ac:dyDescent="0.2">
      <c r="A71" s="222"/>
      <c r="B71" s="394" t="s">
        <v>603</v>
      </c>
      <c r="C71" s="222" t="s">
        <v>33</v>
      </c>
      <c r="D71" s="485"/>
      <c r="E71" s="255"/>
      <c r="F71" s="255"/>
      <c r="G71" s="466">
        <v>0.1</v>
      </c>
      <c r="H71" s="258"/>
      <c r="I71" s="258"/>
      <c r="J71" s="222"/>
      <c r="K71" s="222"/>
      <c r="L71" s="453"/>
      <c r="M71" s="212"/>
      <c r="N71" s="212"/>
    </row>
    <row r="72" spans="1:19" x14ac:dyDescent="0.2">
      <c r="A72" s="222"/>
      <c r="B72" s="261" t="s">
        <v>604</v>
      </c>
      <c r="C72" s="222" t="s">
        <v>416</v>
      </c>
      <c r="D72" s="254"/>
      <c r="E72" s="255"/>
      <c r="F72" s="255"/>
      <c r="G72" s="474"/>
      <c r="H72" s="258"/>
      <c r="I72" s="258"/>
      <c r="J72" s="458">
        <f>D70*G71</f>
        <v>0.15393839999999998</v>
      </c>
      <c r="K72" s="443" t="s">
        <v>416</v>
      </c>
      <c r="L72" s="453" t="s">
        <v>476</v>
      </c>
      <c r="M72" s="212"/>
      <c r="N72" s="212"/>
    </row>
    <row r="73" spans="1:19" hidden="1" x14ac:dyDescent="0.2">
      <c r="A73" s="222"/>
      <c r="B73" s="610"/>
      <c r="C73" s="222"/>
      <c r="D73" s="254"/>
      <c r="E73" s="255"/>
      <c r="F73" s="255"/>
      <c r="G73" s="474"/>
      <c r="H73" s="258"/>
      <c r="I73" s="258"/>
      <c r="J73" s="222"/>
      <c r="K73" s="222"/>
      <c r="L73" s="453"/>
      <c r="M73" s="212"/>
      <c r="N73" s="212"/>
    </row>
    <row r="74" spans="1:19" ht="25.5" hidden="1" x14ac:dyDescent="0.2">
      <c r="A74" s="594" t="s">
        <v>26</v>
      </c>
      <c r="B74" s="605" t="s">
        <v>322</v>
      </c>
      <c r="C74" s="588" t="s">
        <v>416</v>
      </c>
      <c r="D74" s="590">
        <f>J78</f>
        <v>0.12063744</v>
      </c>
      <c r="E74" s="591"/>
      <c r="F74" s="591"/>
      <c r="G74" s="592"/>
      <c r="H74" s="593"/>
      <c r="I74" s="593"/>
      <c r="J74" s="594"/>
      <c r="K74" s="594"/>
      <c r="L74" s="593" t="s">
        <v>477</v>
      </c>
      <c r="M74" s="212"/>
      <c r="N74" s="212"/>
    </row>
    <row r="75" spans="1:19" hidden="1" x14ac:dyDescent="0.2">
      <c r="A75" s="594"/>
      <c r="B75" s="596" t="s">
        <v>478</v>
      </c>
      <c r="C75" s="618" t="s">
        <v>418</v>
      </c>
      <c r="D75" s="597"/>
      <c r="E75" s="591"/>
      <c r="F75" s="600">
        <f>F47-0.1</f>
        <v>1.5999999999999999</v>
      </c>
      <c r="G75" s="594"/>
      <c r="H75" s="593"/>
      <c r="I75" s="593"/>
      <c r="J75" s="594"/>
      <c r="K75" s="594"/>
      <c r="L75" s="595"/>
      <c r="M75" s="212"/>
      <c r="N75" s="212"/>
    </row>
    <row r="76" spans="1:19" hidden="1" x14ac:dyDescent="0.2">
      <c r="A76" s="594"/>
      <c r="B76" s="596" t="s">
        <v>479</v>
      </c>
      <c r="C76" s="618" t="s">
        <v>35</v>
      </c>
      <c r="D76" s="597">
        <f>3.1416*F75*F75/4</f>
        <v>2.010624</v>
      </c>
      <c r="E76" s="591"/>
      <c r="F76" s="591"/>
      <c r="G76" s="593"/>
      <c r="H76" s="593"/>
      <c r="I76" s="593"/>
      <c r="J76" s="594"/>
      <c r="K76" s="594"/>
      <c r="L76" s="595" t="s">
        <v>480</v>
      </c>
      <c r="M76" s="212"/>
      <c r="N76" s="477">
        <f>3.1416*F75*F75/4</f>
        <v>2.010624</v>
      </c>
      <c r="S76" s="213">
        <v>2</v>
      </c>
    </row>
    <row r="77" spans="1:19" hidden="1" x14ac:dyDescent="0.2">
      <c r="A77" s="594"/>
      <c r="B77" s="599" t="s">
        <v>481</v>
      </c>
      <c r="C77" s="594" t="s">
        <v>33</v>
      </c>
      <c r="D77" s="597"/>
      <c r="E77" s="591"/>
      <c r="F77" s="591"/>
      <c r="G77" s="600">
        <v>0.06</v>
      </c>
      <c r="H77" s="593"/>
      <c r="I77" s="593"/>
      <c r="J77" s="593"/>
      <c r="K77" s="593"/>
      <c r="L77" s="595"/>
      <c r="M77" s="212"/>
      <c r="N77" s="212"/>
    </row>
    <row r="78" spans="1:19" hidden="1" x14ac:dyDescent="0.2">
      <c r="A78" s="594"/>
      <c r="B78" s="602" t="s">
        <v>482</v>
      </c>
      <c r="C78" s="594"/>
      <c r="D78" s="597"/>
      <c r="E78" s="591"/>
      <c r="F78" s="591"/>
      <c r="G78" s="594"/>
      <c r="H78" s="593"/>
      <c r="I78" s="593"/>
      <c r="J78" s="603">
        <f>D76*G77</f>
        <v>0.12063744</v>
      </c>
      <c r="K78" s="588" t="s">
        <v>416</v>
      </c>
      <c r="L78" s="595"/>
      <c r="M78" s="212"/>
      <c r="N78" s="212"/>
    </row>
    <row r="79" spans="1:19" hidden="1" x14ac:dyDescent="0.2">
      <c r="A79" s="594"/>
      <c r="B79" s="602"/>
      <c r="C79" s="594"/>
      <c r="D79" s="597"/>
      <c r="E79" s="591"/>
      <c r="F79" s="591"/>
      <c r="G79" s="594"/>
      <c r="H79" s="593"/>
      <c r="I79" s="593"/>
      <c r="J79" s="594"/>
      <c r="K79" s="594"/>
      <c r="L79" s="595"/>
      <c r="M79" s="212"/>
      <c r="N79" s="212"/>
      <c r="O79" s="997" t="s">
        <v>393</v>
      </c>
      <c r="P79" s="997"/>
      <c r="Q79" s="997"/>
    </row>
    <row r="80" spans="1:19" hidden="1" x14ac:dyDescent="0.2">
      <c r="A80" s="594" t="s">
        <v>27</v>
      </c>
      <c r="B80" s="589" t="s">
        <v>321</v>
      </c>
      <c r="C80" s="588" t="s">
        <v>22</v>
      </c>
      <c r="D80" s="590">
        <f>D74</f>
        <v>0.12063744</v>
      </c>
      <c r="E80" s="591"/>
      <c r="F80" s="591"/>
      <c r="G80" s="594"/>
      <c r="H80" s="593"/>
      <c r="I80" s="593"/>
      <c r="J80" s="594"/>
      <c r="K80" s="594"/>
      <c r="L80" s="595"/>
      <c r="M80" s="212"/>
      <c r="N80" s="212"/>
      <c r="O80" s="997"/>
      <c r="P80" s="997"/>
      <c r="Q80" s="997"/>
    </row>
    <row r="81" spans="1:15" hidden="1" x14ac:dyDescent="0.2">
      <c r="A81" s="594"/>
      <c r="B81" s="589"/>
      <c r="C81" s="594" t="s">
        <v>22</v>
      </c>
      <c r="D81" s="597"/>
      <c r="E81" s="591"/>
      <c r="F81" s="591"/>
      <c r="G81" s="594"/>
      <c r="H81" s="593"/>
      <c r="I81" s="593"/>
      <c r="J81" s="603">
        <f>D74</f>
        <v>0.12063744</v>
      </c>
      <c r="K81" s="588" t="s">
        <v>22</v>
      </c>
      <c r="L81" s="595" t="s">
        <v>483</v>
      </c>
      <c r="M81" s="212"/>
      <c r="N81" s="212"/>
    </row>
    <row r="82" spans="1:15" hidden="1" x14ac:dyDescent="0.2">
      <c r="A82" s="594"/>
      <c r="B82" s="589"/>
      <c r="C82" s="593"/>
      <c r="D82" s="597"/>
      <c r="E82" s="591"/>
      <c r="F82" s="591"/>
      <c r="G82" s="594"/>
      <c r="H82" s="593"/>
      <c r="I82" s="593"/>
      <c r="J82" s="594"/>
      <c r="K82" s="593"/>
      <c r="L82" s="595"/>
      <c r="M82" s="212"/>
      <c r="N82" s="212"/>
    </row>
    <row r="83" spans="1:15" hidden="1" x14ac:dyDescent="0.2">
      <c r="A83" s="594"/>
      <c r="B83" s="602" t="s">
        <v>51</v>
      </c>
      <c r="C83" s="593"/>
      <c r="D83" s="597"/>
      <c r="E83" s="591"/>
      <c r="F83" s="591"/>
      <c r="G83" s="594"/>
      <c r="H83" s="593"/>
      <c r="I83" s="593"/>
      <c r="J83" s="594"/>
      <c r="K83" s="593"/>
      <c r="L83" s="595"/>
      <c r="M83" s="212"/>
      <c r="N83" s="212"/>
      <c r="O83" s="259"/>
    </row>
    <row r="84" spans="1:15" hidden="1" x14ac:dyDescent="0.2">
      <c r="A84" s="594"/>
      <c r="B84" s="605"/>
      <c r="C84" s="594"/>
      <c r="D84" s="597"/>
      <c r="E84" s="591"/>
      <c r="F84" s="591"/>
      <c r="G84" s="594"/>
      <c r="H84" s="593"/>
      <c r="I84" s="593"/>
      <c r="J84" s="594"/>
      <c r="K84" s="593"/>
      <c r="L84" s="595"/>
      <c r="M84" s="212"/>
      <c r="N84" s="212"/>
    </row>
    <row r="85" spans="1:15" ht="25.5" hidden="1" x14ac:dyDescent="0.2">
      <c r="A85" s="594" t="s">
        <v>34</v>
      </c>
      <c r="B85" s="605" t="s">
        <v>170</v>
      </c>
      <c r="C85" s="588" t="s">
        <v>416</v>
      </c>
      <c r="D85" s="590">
        <f>D74</f>
        <v>0.12063744</v>
      </c>
      <c r="E85" s="606"/>
      <c r="F85" s="591"/>
      <c r="G85" s="592"/>
      <c r="H85" s="593"/>
      <c r="I85" s="593"/>
      <c r="J85" s="594"/>
      <c r="K85" s="593"/>
      <c r="L85" s="595"/>
      <c r="M85" s="212"/>
      <c r="N85" s="212"/>
    </row>
    <row r="86" spans="1:15" hidden="1" x14ac:dyDescent="0.2">
      <c r="A86" s="594"/>
      <c r="B86" s="605"/>
      <c r="C86" s="594" t="s">
        <v>10</v>
      </c>
      <c r="D86" s="597"/>
      <c r="E86" s="606"/>
      <c r="F86" s="591"/>
      <c r="G86" s="592"/>
      <c r="H86" s="593"/>
      <c r="I86" s="593"/>
      <c r="J86" s="603">
        <f>D74</f>
        <v>0.12063744</v>
      </c>
      <c r="K86" s="588" t="s">
        <v>416</v>
      </c>
      <c r="L86" s="595" t="s">
        <v>483</v>
      </c>
      <c r="M86" s="212"/>
      <c r="N86" s="212"/>
    </row>
    <row r="87" spans="1:15" hidden="1" x14ac:dyDescent="0.2">
      <c r="A87" s="594"/>
      <c r="B87" s="605"/>
      <c r="C87" s="594"/>
      <c r="D87" s="597"/>
      <c r="E87" s="606"/>
      <c r="F87" s="591"/>
      <c r="G87" s="592"/>
      <c r="H87" s="593"/>
      <c r="I87" s="593"/>
      <c r="J87" s="594"/>
      <c r="K87" s="593"/>
      <c r="L87" s="595"/>
      <c r="M87" s="212"/>
      <c r="N87" s="212"/>
    </row>
    <row r="88" spans="1:15" hidden="1" x14ac:dyDescent="0.2">
      <c r="A88" s="588"/>
      <c r="B88" s="605"/>
      <c r="C88" s="594"/>
      <c r="D88" s="597"/>
      <c r="E88" s="591"/>
      <c r="F88" s="591"/>
      <c r="G88" s="594"/>
      <c r="H88" s="593"/>
      <c r="I88" s="593"/>
      <c r="J88" s="594"/>
      <c r="K88" s="594"/>
      <c r="L88" s="595"/>
      <c r="M88" s="212"/>
      <c r="N88" s="212"/>
    </row>
    <row r="89" spans="1:15" hidden="1" x14ac:dyDescent="0.2">
      <c r="A89" s="222"/>
      <c r="B89" s="258"/>
      <c r="C89" s="258"/>
      <c r="D89" s="261"/>
      <c r="E89" s="261"/>
      <c r="F89" s="261"/>
      <c r="G89" s="258"/>
      <c r="H89" s="258"/>
      <c r="I89" s="258"/>
      <c r="J89" s="258"/>
      <c r="K89" s="258"/>
      <c r="L89" s="258"/>
    </row>
    <row r="90" spans="1:15" x14ac:dyDescent="0.2">
      <c r="A90" s="222"/>
      <c r="B90" s="258"/>
      <c r="C90" s="258"/>
      <c r="D90" s="261"/>
      <c r="E90" s="261"/>
      <c r="F90" s="261"/>
      <c r="G90" s="258"/>
      <c r="H90" s="258"/>
      <c r="I90" s="258"/>
      <c r="J90" s="258"/>
      <c r="K90" s="258"/>
      <c r="L90" s="258"/>
    </row>
    <row r="91" spans="1:15" x14ac:dyDescent="0.2">
      <c r="A91" s="222"/>
      <c r="B91" s="258"/>
      <c r="C91" s="258"/>
      <c r="D91" s="261"/>
      <c r="E91" s="261"/>
      <c r="F91" s="261"/>
      <c r="G91" s="258"/>
      <c r="H91" s="258"/>
      <c r="I91" s="258"/>
      <c r="J91" s="258"/>
      <c r="K91" s="258"/>
      <c r="L91" s="258"/>
    </row>
    <row r="92" spans="1:15" x14ac:dyDescent="0.2">
      <c r="A92" s="222" t="s">
        <v>34</v>
      </c>
      <c r="B92" s="258" t="s">
        <v>739</v>
      </c>
      <c r="C92" s="222" t="s">
        <v>416</v>
      </c>
      <c r="D92" s="691">
        <f>J95</f>
        <v>0.69366527999999983</v>
      </c>
      <c r="E92" s="261"/>
      <c r="F92" s="261"/>
      <c r="G92" s="258"/>
      <c r="H92" s="258"/>
      <c r="I92" s="258"/>
      <c r="J92" s="258"/>
      <c r="K92" s="258"/>
      <c r="L92" s="258"/>
    </row>
    <row r="93" spans="1:15" x14ac:dyDescent="0.2">
      <c r="A93" s="222"/>
      <c r="B93" s="261" t="s">
        <v>740</v>
      </c>
      <c r="C93" s="222" t="s">
        <v>35</v>
      </c>
      <c r="D93" s="222">
        <v>0.12</v>
      </c>
      <c r="E93" s="261"/>
      <c r="F93" s="261"/>
      <c r="G93" s="258"/>
      <c r="H93" s="258"/>
      <c r="I93" s="258"/>
      <c r="J93" s="258"/>
      <c r="K93" s="258"/>
      <c r="L93" s="258"/>
    </row>
    <row r="94" spans="1:15" x14ac:dyDescent="0.2">
      <c r="A94" s="222"/>
      <c r="B94" s="261" t="s">
        <v>741</v>
      </c>
      <c r="C94" s="222" t="s">
        <v>33</v>
      </c>
      <c r="D94" s="254">
        <f>D53</f>
        <v>5.780543999999999</v>
      </c>
      <c r="E94" s="261"/>
      <c r="F94" s="261"/>
      <c r="G94" s="258"/>
      <c r="H94" s="258"/>
      <c r="I94" s="258"/>
      <c r="J94" s="258"/>
      <c r="K94" s="258"/>
      <c r="L94" s="258"/>
    </row>
    <row r="95" spans="1:15" x14ac:dyDescent="0.2">
      <c r="A95" s="258"/>
      <c r="B95" s="261" t="s">
        <v>673</v>
      </c>
      <c r="C95" s="258"/>
      <c r="D95" s="261"/>
      <c r="E95" s="261"/>
      <c r="F95" s="261"/>
      <c r="G95" s="258"/>
      <c r="H95" s="258"/>
      <c r="I95" s="258"/>
      <c r="J95" s="691">
        <f>D93*D94</f>
        <v>0.69366527999999983</v>
      </c>
      <c r="K95" s="443" t="s">
        <v>416</v>
      </c>
      <c r="L95" s="258"/>
    </row>
    <row r="96" spans="1:15" x14ac:dyDescent="0.2">
      <c r="A96" s="258"/>
      <c r="B96" s="258"/>
      <c r="C96" s="258"/>
      <c r="D96" s="261"/>
      <c r="E96" s="261"/>
      <c r="F96" s="261"/>
      <c r="G96" s="258"/>
      <c r="H96" s="258"/>
      <c r="I96" s="258"/>
      <c r="J96" s="258"/>
      <c r="K96" s="258"/>
      <c r="L96" s="258"/>
    </row>
    <row r="97" spans="1:14" s="212" customFormat="1" ht="52.5" customHeight="1" x14ac:dyDescent="0.2">
      <c r="A97" s="953" t="s">
        <v>484</v>
      </c>
      <c r="B97" s="953"/>
      <c r="C97" s="953"/>
      <c r="D97" s="953"/>
      <c r="E97" s="953"/>
      <c r="F97" s="953"/>
      <c r="G97" s="953"/>
      <c r="H97" s="953"/>
      <c r="I97" s="953"/>
      <c r="J97" s="953"/>
      <c r="K97" s="953"/>
      <c r="L97" s="953"/>
      <c r="N97" s="457"/>
    </row>
    <row r="126" spans="11:11" x14ac:dyDescent="0.2">
      <c r="K126" s="213" t="e">
        <f>+G107+'7B.1 Sumid.Aren.Mem. Cal. valid'!B100MASA</f>
        <v>#NAME?</v>
      </c>
    </row>
  </sheetData>
  <sheetProtection algorithmName="SHA-512" hashValue="1SnPmdM1xyuMRawrmpIbHBe1Zwihh1CVdE0ER0dBQnxbfiBsIwTXN5uEh0XmZCYHW6621gkoI2Wol6L9ymn+SQ==" saltValue="bNgArAocgMqOk7Nu4soYyw==" spinCount="100000" sheet="1" objects="1" selectLockedCells="1" selectUnlockedCells="1"/>
  <mergeCells count="7">
    <mergeCell ref="A1:L1"/>
    <mergeCell ref="A97:L97"/>
    <mergeCell ref="O2:R2"/>
    <mergeCell ref="O35:T35"/>
    <mergeCell ref="O79:Q80"/>
    <mergeCell ref="O44:Q44"/>
    <mergeCell ref="O45:Q45"/>
  </mergeCells>
  <printOptions horizontalCentered="1" verticalCentered="1"/>
  <pageMargins left="0.51181102362204722" right="0.51181102362204722" top="0.78740157480314965" bottom="0.78740157480314965" header="0.31496062992125984" footer="0.31496062992125984"/>
  <pageSetup paperSize="9" scale="7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pageSetUpPr fitToPage="1"/>
  </sheetPr>
  <dimension ref="A1:H60"/>
  <sheetViews>
    <sheetView workbookViewId="0">
      <selection activeCell="M9" sqref="M9"/>
    </sheetView>
  </sheetViews>
  <sheetFormatPr defaultRowHeight="12.75" x14ac:dyDescent="0.2"/>
  <cols>
    <col min="1" max="2" width="6.7109375" style="5" customWidth="1"/>
    <col min="3" max="3" width="45.7109375" style="5" customWidth="1"/>
    <col min="4" max="5" width="8.7109375" style="5" customWidth="1"/>
    <col min="6" max="7" width="8.7109375" style="216" customWidth="1"/>
    <col min="8" max="8" width="15" style="5" customWidth="1"/>
    <col min="9" max="16384" width="9.140625" style="5"/>
  </cols>
  <sheetData>
    <row r="1" spans="1:8" ht="51.75" customHeight="1" thickBot="1" x14ac:dyDescent="0.25">
      <c r="A1" s="890"/>
      <c r="B1" s="891"/>
      <c r="C1" s="891"/>
      <c r="D1" s="891"/>
      <c r="E1" s="891"/>
      <c r="F1" s="891"/>
      <c r="G1" s="891"/>
      <c r="H1" s="892"/>
    </row>
    <row r="2" spans="1:8" ht="17.100000000000001" customHeight="1" x14ac:dyDescent="0.2">
      <c r="A2" s="893" t="s">
        <v>870</v>
      </c>
      <c r="B2" s="894"/>
      <c r="C2" s="894"/>
      <c r="D2" s="894"/>
      <c r="E2" s="894"/>
      <c r="F2" s="894"/>
      <c r="G2" s="894"/>
      <c r="H2" s="895"/>
    </row>
    <row r="3" spans="1:8" ht="17.100000000000001" customHeight="1" x14ac:dyDescent="0.2">
      <c r="A3" s="896" t="s">
        <v>277</v>
      </c>
      <c r="B3" s="815"/>
      <c r="C3" s="815" t="e">
        <f>#REF!</f>
        <v>#REF!</v>
      </c>
      <c r="D3" s="815"/>
      <c r="E3" s="827" t="s">
        <v>339</v>
      </c>
      <c r="F3" s="827"/>
      <c r="G3" s="989" t="e">
        <f>#REF!</f>
        <v>#REF!</v>
      </c>
      <c r="H3" s="990"/>
    </row>
    <row r="4" spans="1:8" ht="17.100000000000001" customHeight="1" thickBot="1" x14ac:dyDescent="0.25">
      <c r="A4" s="896" t="s">
        <v>333</v>
      </c>
      <c r="B4" s="815"/>
      <c r="C4" s="815" t="e">
        <f>#REF!</f>
        <v>#REF!</v>
      </c>
      <c r="D4" s="815"/>
      <c r="E4" s="827" t="s">
        <v>338</v>
      </c>
      <c r="F4" s="827"/>
      <c r="G4" s="817" t="e">
        <f>#REF!</f>
        <v>#REF!</v>
      </c>
      <c r="H4" s="818"/>
    </row>
    <row r="5" spans="1:8" ht="17.100000000000001" customHeight="1" thickBot="1" x14ac:dyDescent="0.25">
      <c r="A5" s="877"/>
      <c r="B5" s="878"/>
      <c r="C5" s="878"/>
      <c r="D5" s="878"/>
      <c r="E5" s="878"/>
      <c r="F5" s="878"/>
      <c r="G5" s="878"/>
      <c r="H5" s="879"/>
    </row>
    <row r="6" spans="1:8" ht="17.100000000000001" customHeight="1" thickBot="1" x14ac:dyDescent="0.25">
      <c r="A6" s="884" t="s">
        <v>334</v>
      </c>
      <c r="B6" s="885"/>
      <c r="C6" s="885"/>
      <c r="D6" s="886"/>
      <c r="E6" s="886"/>
      <c r="F6" s="886"/>
      <c r="G6" s="886"/>
      <c r="H6" s="308"/>
    </row>
    <row r="7" spans="1:8" ht="30" customHeight="1" x14ac:dyDescent="0.2">
      <c r="A7" s="275" t="s">
        <v>0</v>
      </c>
      <c r="B7" s="1003" t="s">
        <v>1</v>
      </c>
      <c r="C7" s="1003"/>
      <c r="D7" s="759" t="s">
        <v>2</v>
      </c>
      <c r="E7" s="375" t="s">
        <v>3</v>
      </c>
      <c r="F7" s="376" t="s">
        <v>4</v>
      </c>
      <c r="G7" s="375" t="s">
        <v>5</v>
      </c>
      <c r="H7" s="377" t="s">
        <v>275</v>
      </c>
    </row>
    <row r="8" spans="1:8" ht="17.100000000000001" customHeight="1" x14ac:dyDescent="0.2">
      <c r="A8" s="353">
        <v>1</v>
      </c>
      <c r="B8" s="799" t="s">
        <v>335</v>
      </c>
      <c r="C8" s="799"/>
      <c r="D8" s="799"/>
      <c r="E8" s="799"/>
      <c r="F8" s="799"/>
      <c r="G8" s="799"/>
      <c r="H8" s="662"/>
    </row>
    <row r="9" spans="1:8" ht="30.75" customHeight="1" x14ac:dyDescent="0.2">
      <c r="A9" s="1" t="s">
        <v>6</v>
      </c>
      <c r="B9" s="800" t="s">
        <v>893</v>
      </c>
      <c r="C9" s="800"/>
      <c r="D9" s="755" t="s">
        <v>10</v>
      </c>
      <c r="E9" s="4">
        <f>'7B.1 Sumid.Aren.Mem. Cal. valid'!D4</f>
        <v>5.954010585599999</v>
      </c>
      <c r="F9" s="745">
        <v>78.239999999999995</v>
      </c>
      <c r="G9" s="272">
        <f t="shared" ref="G9:G22" si="0">ROUND(E9*F9,2)</f>
        <v>465.84</v>
      </c>
      <c r="H9" s="210">
        <v>93358</v>
      </c>
    </row>
    <row r="10" spans="1:8" ht="30.75" customHeight="1" x14ac:dyDescent="0.2">
      <c r="A10" s="221" t="s">
        <v>8</v>
      </c>
      <c r="B10" s="937" t="s">
        <v>711</v>
      </c>
      <c r="C10" s="938"/>
      <c r="D10" s="755" t="s">
        <v>7</v>
      </c>
      <c r="E10" s="4">
        <f>'7B.1 Sumid.Aren.Mem. Cal. valid'!D27</f>
        <v>12.597187679999998</v>
      </c>
      <c r="F10" s="745">
        <v>19.260000000000002</v>
      </c>
      <c r="G10" s="272">
        <f>E10*F10</f>
        <v>242.62183471679998</v>
      </c>
      <c r="H10" s="224">
        <v>101572</v>
      </c>
    </row>
    <row r="11" spans="1:8" ht="30.75" customHeight="1" x14ac:dyDescent="0.2">
      <c r="A11" s="221" t="s">
        <v>23</v>
      </c>
      <c r="B11" s="937" t="s">
        <v>657</v>
      </c>
      <c r="C11" s="947"/>
      <c r="D11" s="755" t="s">
        <v>10</v>
      </c>
      <c r="E11" s="4">
        <v>0.1</v>
      </c>
      <c r="F11" s="745">
        <v>213.38</v>
      </c>
      <c r="G11" s="272">
        <f>E11*F11</f>
        <v>21.338000000000001</v>
      </c>
      <c r="H11" s="224">
        <v>101619</v>
      </c>
    </row>
    <row r="12" spans="1:8" ht="39.75" customHeight="1" x14ac:dyDescent="0.2">
      <c r="A12" s="221" t="s">
        <v>24</v>
      </c>
      <c r="B12" s="937" t="s">
        <v>671</v>
      </c>
      <c r="C12" s="947"/>
      <c r="D12" s="755" t="s">
        <v>7</v>
      </c>
      <c r="E12" s="4">
        <f>'7B.1 Sumid.Aren.Mem. Cal. valid'!J40</f>
        <v>9.3619679999999992</v>
      </c>
      <c r="F12" s="278">
        <f>'11. Composições'!G79</f>
        <v>69.405599999999993</v>
      </c>
      <c r="G12" s="272">
        <f>E12*F12</f>
        <v>649.77300622079986</v>
      </c>
      <c r="H12" s="667" t="s">
        <v>556</v>
      </c>
    </row>
    <row r="13" spans="1:8" ht="53.25" customHeight="1" x14ac:dyDescent="0.2">
      <c r="A13" s="221" t="s">
        <v>25</v>
      </c>
      <c r="B13" s="800" t="s">
        <v>878</v>
      </c>
      <c r="C13" s="800"/>
      <c r="D13" s="755" t="s">
        <v>7</v>
      </c>
      <c r="E13" s="4">
        <f>'7B.1 Sumid.Aren.Mem. Cal. valid'!D42</f>
        <v>2.9028383999999998</v>
      </c>
      <c r="F13" s="722">
        <v>135.05000000000001</v>
      </c>
      <c r="G13" s="272">
        <f>E13*F13</f>
        <v>392.02832591999999</v>
      </c>
      <c r="H13" s="761">
        <v>103334</v>
      </c>
    </row>
    <row r="14" spans="1:8" ht="39.75" customHeight="1" x14ac:dyDescent="0.2">
      <c r="A14" s="221" t="s">
        <v>26</v>
      </c>
      <c r="B14" s="800" t="s">
        <v>875</v>
      </c>
      <c r="C14" s="800"/>
      <c r="D14" s="756" t="s">
        <v>7</v>
      </c>
      <c r="E14" s="10">
        <f>'7B.1 Sumid.Aren.Mem. Cal. valid'!D50</f>
        <v>6.2806867199999985</v>
      </c>
      <c r="F14" s="746">
        <v>4.24</v>
      </c>
      <c r="G14" s="279">
        <f t="shared" si="0"/>
        <v>26.63</v>
      </c>
      <c r="H14" s="327">
        <v>87878</v>
      </c>
    </row>
    <row r="15" spans="1:8" ht="52.5" customHeight="1" x14ac:dyDescent="0.2">
      <c r="A15" s="221" t="s">
        <v>27</v>
      </c>
      <c r="B15" s="800" t="s">
        <v>876</v>
      </c>
      <c r="C15" s="800"/>
      <c r="D15" s="755" t="s">
        <v>7</v>
      </c>
      <c r="E15" s="4">
        <f>'7B.1 Sumid.Aren.Mem. Cal. valid'!D68</f>
        <v>6.9087553919999989</v>
      </c>
      <c r="F15" s="745">
        <v>35.28</v>
      </c>
      <c r="G15" s="272">
        <f t="shared" si="0"/>
        <v>243.74</v>
      </c>
      <c r="H15" s="210">
        <v>87530</v>
      </c>
    </row>
    <row r="16" spans="1:8" ht="45" customHeight="1" x14ac:dyDescent="0.2">
      <c r="A16" s="354" t="s">
        <v>34</v>
      </c>
      <c r="B16" s="836" t="s">
        <v>894</v>
      </c>
      <c r="C16" s="836"/>
      <c r="D16" s="222" t="s">
        <v>62</v>
      </c>
      <c r="E16" s="255">
        <f>'7B.1 Sumid.Aren.Mem. Cal. valid'!D71</f>
        <v>0.11863519359999998</v>
      </c>
      <c r="F16" s="722">
        <v>1914.39</v>
      </c>
      <c r="G16" s="273">
        <f>E16*F16</f>
        <v>227.11402827590396</v>
      </c>
      <c r="H16" s="263">
        <v>97740</v>
      </c>
    </row>
    <row r="17" spans="1:8" ht="18" customHeight="1" x14ac:dyDescent="0.2">
      <c r="A17" s="354" t="s">
        <v>40</v>
      </c>
      <c r="B17" s="937" t="s">
        <v>732</v>
      </c>
      <c r="C17" s="947"/>
      <c r="D17" s="222" t="s">
        <v>62</v>
      </c>
      <c r="E17" s="255">
        <f>'7B.1 Sumid.Aren.Mem. Cal. valid'!D77</f>
        <v>0.58056768000000003</v>
      </c>
      <c r="F17" s="722">
        <v>47.44</v>
      </c>
      <c r="G17" s="273">
        <f>E17*F17</f>
        <v>27.542130739200001</v>
      </c>
      <c r="H17" s="263">
        <v>96995</v>
      </c>
    </row>
    <row r="18" spans="1:8" ht="17.100000000000001" customHeight="1" x14ac:dyDescent="0.2">
      <c r="A18" s="354"/>
      <c r="B18" s="809"/>
      <c r="C18" s="810"/>
      <c r="D18" s="222"/>
      <c r="E18" s="255"/>
      <c r="F18" s="273"/>
      <c r="G18" s="273"/>
      <c r="H18" s="263"/>
    </row>
    <row r="19" spans="1:8" ht="17.100000000000001" hidden="1" customHeight="1" x14ac:dyDescent="0.2">
      <c r="A19" s="663" t="s">
        <v>34</v>
      </c>
      <c r="B19" s="1000" t="s">
        <v>278</v>
      </c>
      <c r="C19" s="1000"/>
      <c r="D19" s="758" t="s">
        <v>10</v>
      </c>
      <c r="E19" s="619">
        <v>0.11309760000000001</v>
      </c>
      <c r="F19" s="660"/>
      <c r="G19" s="620">
        <f t="shared" si="0"/>
        <v>0</v>
      </c>
      <c r="H19" s="664">
        <v>6514</v>
      </c>
    </row>
    <row r="20" spans="1:8" ht="30" hidden="1" customHeight="1" x14ac:dyDescent="0.2">
      <c r="A20" s="663" t="s">
        <v>40</v>
      </c>
      <c r="B20" s="1000" t="s">
        <v>324</v>
      </c>
      <c r="C20" s="1000"/>
      <c r="D20" s="758" t="s">
        <v>10</v>
      </c>
      <c r="E20" s="619">
        <v>9.5020833599999993E-2</v>
      </c>
      <c r="F20" s="660"/>
      <c r="G20" s="620">
        <f t="shared" si="0"/>
        <v>0</v>
      </c>
      <c r="H20" s="665" t="s">
        <v>37</v>
      </c>
    </row>
    <row r="21" spans="1:8" ht="17.100000000000001" hidden="1" customHeight="1" x14ac:dyDescent="0.2">
      <c r="A21" s="663" t="s">
        <v>58</v>
      </c>
      <c r="B21" s="1001" t="s">
        <v>323</v>
      </c>
      <c r="C21" s="1001"/>
      <c r="D21" s="758" t="s">
        <v>22</v>
      </c>
      <c r="E21" s="619">
        <v>9.5020833599999993E-2</v>
      </c>
      <c r="F21" s="660"/>
      <c r="G21" s="620">
        <f t="shared" si="0"/>
        <v>0</v>
      </c>
      <c r="H21" s="665" t="s">
        <v>41</v>
      </c>
    </row>
    <row r="22" spans="1:8" ht="30" hidden="1" customHeight="1" x14ac:dyDescent="0.2">
      <c r="A22" s="663" t="s">
        <v>59</v>
      </c>
      <c r="B22" s="1002" t="s">
        <v>170</v>
      </c>
      <c r="C22" s="1002"/>
      <c r="D22" s="758" t="s">
        <v>10</v>
      </c>
      <c r="E22" s="619">
        <v>9.5020833599999993E-2</v>
      </c>
      <c r="F22" s="661"/>
      <c r="G22" s="620">
        <f t="shared" si="0"/>
        <v>0</v>
      </c>
      <c r="H22" s="664">
        <v>94975</v>
      </c>
    </row>
    <row r="23" spans="1:8" ht="17.100000000000001" customHeight="1" thickBot="1" x14ac:dyDescent="0.25">
      <c r="A23" s="998" t="s">
        <v>32</v>
      </c>
      <c r="B23" s="999"/>
      <c r="C23" s="999"/>
      <c r="D23" s="999"/>
      <c r="E23" s="999"/>
      <c r="F23" s="999"/>
      <c r="G23" s="356">
        <f>SUM(G9:G22)</f>
        <v>2296.6273258727038</v>
      </c>
      <c r="H23" s="666"/>
    </row>
    <row r="24" spans="1:8" ht="20.100000000000001" customHeight="1" x14ac:dyDescent="0.2">
      <c r="E24" s="7"/>
      <c r="F24" s="7"/>
      <c r="G24" s="7"/>
    </row>
    <row r="25" spans="1:8" ht="51.75" customHeight="1" x14ac:dyDescent="0.2">
      <c r="C25" s="875" t="s">
        <v>269</v>
      </c>
      <c r="D25" s="876"/>
      <c r="E25" s="876"/>
      <c r="F25" s="876"/>
      <c r="G25" s="876"/>
      <c r="H25" s="876"/>
    </row>
    <row r="26" spans="1:8" ht="20.100000000000001" customHeight="1" x14ac:dyDescent="0.2">
      <c r="E26" s="7"/>
      <c r="F26" s="7"/>
      <c r="G26" s="7"/>
    </row>
    <row r="27" spans="1:8" ht="20.100000000000001" customHeight="1" x14ac:dyDescent="0.2">
      <c r="E27" s="7"/>
      <c r="F27" s="7"/>
      <c r="G27" s="7"/>
    </row>
    <row r="28" spans="1:8" ht="20.100000000000001" customHeight="1" x14ac:dyDescent="0.2">
      <c r="E28" s="7"/>
      <c r="F28" s="7"/>
      <c r="G28" s="7"/>
    </row>
    <row r="29" spans="1:8" ht="20.100000000000001" customHeight="1" x14ac:dyDescent="0.2">
      <c r="E29" s="7"/>
      <c r="F29" s="7"/>
      <c r="G29" s="7"/>
    </row>
    <row r="30" spans="1:8" ht="20.100000000000001" customHeight="1" x14ac:dyDescent="0.2">
      <c r="E30" s="7"/>
      <c r="F30" s="7"/>
      <c r="G30" s="7"/>
    </row>
    <row r="31" spans="1:8" ht="20.100000000000001" customHeight="1" x14ac:dyDescent="0.2">
      <c r="E31" s="7"/>
      <c r="F31" s="7"/>
      <c r="G31" s="7"/>
    </row>
    <row r="32" spans="1:8" ht="20.100000000000001" customHeight="1" x14ac:dyDescent="0.2">
      <c r="E32" s="7"/>
      <c r="F32" s="7"/>
      <c r="G32" s="7"/>
    </row>
    <row r="33" spans="5:7" ht="20.100000000000001" customHeight="1" x14ac:dyDescent="0.2">
      <c r="E33" s="7"/>
      <c r="F33" s="7"/>
      <c r="G33" s="7"/>
    </row>
    <row r="34" spans="5:7" ht="20.100000000000001" customHeight="1" x14ac:dyDescent="0.2">
      <c r="E34" s="7"/>
      <c r="F34" s="7"/>
      <c r="G34" s="7"/>
    </row>
    <row r="35" spans="5:7" ht="20.100000000000001" customHeight="1" x14ac:dyDescent="0.2">
      <c r="E35" s="7"/>
      <c r="F35" s="7"/>
      <c r="G35" s="7"/>
    </row>
    <row r="36" spans="5:7" ht="20.100000000000001" customHeight="1" x14ac:dyDescent="0.2">
      <c r="E36" s="7"/>
      <c r="F36" s="7"/>
      <c r="G36" s="7"/>
    </row>
    <row r="37" spans="5:7" ht="20.100000000000001" customHeight="1" x14ac:dyDescent="0.2">
      <c r="E37" s="7"/>
      <c r="F37" s="7"/>
      <c r="G37" s="7"/>
    </row>
    <row r="38" spans="5:7" ht="20.100000000000001" customHeight="1" x14ac:dyDescent="0.2">
      <c r="E38" s="7"/>
      <c r="F38" s="7"/>
      <c r="G38" s="7"/>
    </row>
    <row r="39" spans="5:7" ht="20.100000000000001" customHeight="1" x14ac:dyDescent="0.2">
      <c r="E39" s="7"/>
      <c r="F39" s="7"/>
      <c r="G39" s="7"/>
    </row>
    <row r="40" spans="5:7" ht="20.100000000000001" customHeight="1" x14ac:dyDescent="0.2">
      <c r="E40" s="7"/>
      <c r="F40" s="7"/>
      <c r="G40" s="7"/>
    </row>
    <row r="41" spans="5:7" ht="20.100000000000001" customHeight="1" x14ac:dyDescent="0.2">
      <c r="E41" s="7"/>
      <c r="F41" s="7"/>
      <c r="G41" s="7"/>
    </row>
    <row r="42" spans="5:7" ht="20.100000000000001" customHeight="1" x14ac:dyDescent="0.2">
      <c r="E42" s="7"/>
      <c r="F42" s="7"/>
      <c r="G42" s="7"/>
    </row>
    <row r="43" spans="5:7" ht="20.100000000000001" customHeight="1" x14ac:dyDescent="0.2">
      <c r="E43" s="7"/>
      <c r="F43" s="7"/>
      <c r="G43" s="7"/>
    </row>
    <row r="44" spans="5:7" ht="20.100000000000001" customHeight="1" x14ac:dyDescent="0.2">
      <c r="E44" s="7"/>
      <c r="F44" s="7"/>
      <c r="G44" s="7"/>
    </row>
    <row r="45" spans="5:7" ht="20.100000000000001" customHeight="1" x14ac:dyDescent="0.2">
      <c r="E45" s="7"/>
      <c r="F45" s="7"/>
      <c r="G45" s="7"/>
    </row>
    <row r="46" spans="5:7" ht="20.100000000000001" customHeight="1" x14ac:dyDescent="0.2">
      <c r="E46" s="7"/>
      <c r="F46" s="7"/>
      <c r="G46" s="7"/>
    </row>
    <row r="47" spans="5:7" ht="20.100000000000001" customHeight="1" x14ac:dyDescent="0.2">
      <c r="E47" s="7"/>
      <c r="F47" s="7"/>
      <c r="G47" s="7"/>
    </row>
    <row r="48" spans="5:7" ht="20.100000000000001" customHeight="1" x14ac:dyDescent="0.2">
      <c r="E48" s="7"/>
      <c r="F48" s="7"/>
      <c r="G48" s="7"/>
    </row>
    <row r="49" spans="5:7" ht="20.100000000000001" customHeight="1" x14ac:dyDescent="0.2">
      <c r="E49" s="7"/>
      <c r="F49" s="7"/>
      <c r="G49" s="7"/>
    </row>
    <row r="50" spans="5:7" ht="20.100000000000001" customHeight="1" x14ac:dyDescent="0.2">
      <c r="E50" s="7"/>
      <c r="F50" s="7"/>
      <c r="G50" s="7"/>
    </row>
    <row r="51" spans="5:7" ht="20.100000000000001" customHeight="1" x14ac:dyDescent="0.2">
      <c r="E51" s="7"/>
      <c r="F51" s="7"/>
      <c r="G51" s="7"/>
    </row>
    <row r="52" spans="5:7" ht="20.100000000000001" customHeight="1" x14ac:dyDescent="0.2">
      <c r="E52" s="7"/>
      <c r="F52" s="7"/>
      <c r="G52" s="7"/>
    </row>
    <row r="53" spans="5:7" ht="20.100000000000001" customHeight="1" x14ac:dyDescent="0.2">
      <c r="E53" s="7"/>
      <c r="F53" s="7"/>
      <c r="G53" s="7"/>
    </row>
    <row r="54" spans="5:7" ht="20.100000000000001" customHeight="1" x14ac:dyDescent="0.2">
      <c r="E54" s="7"/>
      <c r="F54" s="7"/>
      <c r="G54" s="7"/>
    </row>
    <row r="55" spans="5:7" ht="20.100000000000001" customHeight="1" x14ac:dyDescent="0.2">
      <c r="E55" s="7"/>
      <c r="F55" s="7"/>
      <c r="G55" s="7"/>
    </row>
    <row r="56" spans="5:7" ht="20.100000000000001" customHeight="1" x14ac:dyDescent="0.2">
      <c r="E56" s="7"/>
      <c r="F56" s="7"/>
      <c r="G56" s="7"/>
    </row>
    <row r="57" spans="5:7" ht="20.100000000000001" customHeight="1" x14ac:dyDescent="0.2">
      <c r="E57" s="7"/>
      <c r="F57" s="7"/>
      <c r="G57" s="7"/>
    </row>
    <row r="58" spans="5:7" ht="20.100000000000001" customHeight="1" x14ac:dyDescent="0.2">
      <c r="E58" s="7"/>
      <c r="F58" s="7"/>
      <c r="G58" s="7"/>
    </row>
    <row r="59" spans="5:7" x14ac:dyDescent="0.2">
      <c r="E59" s="7"/>
      <c r="F59" s="7"/>
      <c r="G59" s="7"/>
    </row>
    <row r="60" spans="5:7" x14ac:dyDescent="0.2">
      <c r="E60" s="7"/>
      <c r="F60" s="7"/>
      <c r="G60" s="7"/>
    </row>
  </sheetData>
  <sheetProtection selectLockedCells="1" selectUnlockedCells="1"/>
  <mergeCells count="30">
    <mergeCell ref="A5:H5"/>
    <mergeCell ref="B7:C7"/>
    <mergeCell ref="B8:G8"/>
    <mergeCell ref="B9:C9"/>
    <mergeCell ref="B10:C10"/>
    <mergeCell ref="A1:H1"/>
    <mergeCell ref="A2:H2"/>
    <mergeCell ref="A3:B3"/>
    <mergeCell ref="A4:B4"/>
    <mergeCell ref="C3:D3"/>
    <mergeCell ref="E3:F3"/>
    <mergeCell ref="G3:H3"/>
    <mergeCell ref="C4:D4"/>
    <mergeCell ref="E4:F4"/>
    <mergeCell ref="G4:H4"/>
    <mergeCell ref="C25:H25"/>
    <mergeCell ref="A23:F23"/>
    <mergeCell ref="A6:G6"/>
    <mergeCell ref="B14:C14"/>
    <mergeCell ref="B19:C19"/>
    <mergeCell ref="B20:C20"/>
    <mergeCell ref="B21:C21"/>
    <mergeCell ref="B22:C22"/>
    <mergeCell ref="B16:C16"/>
    <mergeCell ref="B18:C18"/>
    <mergeCell ref="B11:C11"/>
    <mergeCell ref="B12:C12"/>
    <mergeCell ref="B17:C17"/>
    <mergeCell ref="B15:C15"/>
    <mergeCell ref="B13:C13"/>
  </mergeCells>
  <printOptions horizontalCentered="1"/>
  <pageMargins left="0.59055118110236227" right="0.59055118110236227" top="1.1811023622047245" bottom="0.98425196850393704" header="0.51181102362204722" footer="0.51181102362204722"/>
  <pageSetup paperSize="9" scale="8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S83"/>
  <sheetViews>
    <sheetView workbookViewId="0">
      <selection sqref="A1:L1"/>
    </sheetView>
  </sheetViews>
  <sheetFormatPr defaultRowHeight="12.75" x14ac:dyDescent="0.2"/>
  <cols>
    <col min="1" max="1" width="6.7109375" customWidth="1"/>
    <col min="2" max="2" width="59.5703125" customWidth="1"/>
    <col min="3" max="3" width="6.7109375" customWidth="1"/>
    <col min="4" max="10" width="10.7109375" customWidth="1"/>
    <col min="11" max="11" width="6.7109375" customWidth="1"/>
    <col min="12" max="12" width="38.42578125" customWidth="1"/>
  </cols>
  <sheetData>
    <row r="1" spans="1:19" ht="24.95" customHeight="1" x14ac:dyDescent="0.2">
      <c r="A1" s="994" t="s">
        <v>485</v>
      </c>
      <c r="B1" s="994"/>
      <c r="C1" s="994"/>
      <c r="D1" s="994"/>
      <c r="E1" s="994"/>
      <c r="F1" s="994"/>
      <c r="G1" s="994"/>
      <c r="H1" s="994"/>
      <c r="I1" s="994"/>
      <c r="J1" s="994"/>
      <c r="K1" s="994"/>
      <c r="L1" s="994"/>
    </row>
    <row r="2" spans="1:19" ht="24.95" customHeight="1" x14ac:dyDescent="0.2">
      <c r="A2" s="486" t="s">
        <v>486</v>
      </c>
      <c r="B2" s="487" t="s">
        <v>487</v>
      </c>
      <c r="C2" s="487"/>
      <c r="D2" s="487"/>
      <c r="E2" s="487"/>
      <c r="F2" s="487"/>
      <c r="G2" s="487"/>
      <c r="H2" s="487"/>
      <c r="I2" s="487"/>
      <c r="J2" s="487"/>
      <c r="K2" s="487"/>
      <c r="L2" s="488"/>
    </row>
    <row r="3" spans="1:19" ht="20.100000000000001" customHeight="1" x14ac:dyDescent="0.2">
      <c r="A3" s="448" t="s">
        <v>303</v>
      </c>
      <c r="B3" s="448" t="s">
        <v>302</v>
      </c>
      <c r="C3" s="448" t="s">
        <v>301</v>
      </c>
      <c r="D3" s="448" t="s">
        <v>300</v>
      </c>
      <c r="E3" s="448" t="s">
        <v>298</v>
      </c>
      <c r="F3" s="448" t="s">
        <v>297</v>
      </c>
      <c r="G3" s="448" t="s">
        <v>415</v>
      </c>
      <c r="H3" s="448" t="s">
        <v>47</v>
      </c>
      <c r="I3" s="448" t="s">
        <v>296</v>
      </c>
      <c r="J3" s="448" t="s">
        <v>21</v>
      </c>
      <c r="K3" s="448" t="s">
        <v>22</v>
      </c>
      <c r="L3" s="448" t="s">
        <v>295</v>
      </c>
    </row>
    <row r="4" spans="1:19" ht="30" customHeight="1" x14ac:dyDescent="0.2">
      <c r="A4" s="222" t="s">
        <v>6</v>
      </c>
      <c r="B4" s="586" t="s">
        <v>564</v>
      </c>
      <c r="C4" s="443" t="s">
        <v>416</v>
      </c>
      <c r="D4" s="449">
        <f>J25</f>
        <v>5.954010585599999</v>
      </c>
      <c r="E4" s="255"/>
      <c r="F4" s="258"/>
      <c r="G4" s="339"/>
      <c r="H4" s="258"/>
      <c r="I4" s="258"/>
      <c r="J4" s="222"/>
      <c r="K4" s="489"/>
      <c r="L4" s="453"/>
    </row>
    <row r="5" spans="1:19" ht="15.75" customHeight="1" thickBot="1" x14ac:dyDescent="0.25">
      <c r="A5" s="222" t="s">
        <v>420</v>
      </c>
      <c r="B5" s="610" t="s">
        <v>621</v>
      </c>
      <c r="C5" s="443"/>
      <c r="D5" s="449"/>
      <c r="E5" s="255"/>
      <c r="F5" s="258"/>
      <c r="G5" s="339"/>
      <c r="H5" s="258"/>
      <c r="I5" s="258"/>
      <c r="J5" s="222"/>
      <c r="K5" s="489"/>
      <c r="L5" s="453"/>
    </row>
    <row r="6" spans="1:19" ht="20.25" customHeight="1" x14ac:dyDescent="0.2">
      <c r="A6" s="222"/>
      <c r="B6" s="261" t="s">
        <v>636</v>
      </c>
      <c r="C6" s="450" t="s">
        <v>418</v>
      </c>
      <c r="D6" s="254"/>
      <c r="E6" s="255"/>
      <c r="F6" s="451">
        <v>1.4</v>
      </c>
      <c r="G6" s="452"/>
      <c r="H6" s="258"/>
      <c r="I6" s="258"/>
      <c r="J6" s="222"/>
      <c r="K6" s="489"/>
      <c r="L6" s="1004" t="s">
        <v>488</v>
      </c>
      <c r="M6" s="1007" t="s">
        <v>644</v>
      </c>
      <c r="N6" s="1008"/>
      <c r="O6" s="1008"/>
      <c r="P6" s="1008"/>
      <c r="Q6" s="1008"/>
      <c r="R6" s="1008"/>
      <c r="S6" s="1008"/>
    </row>
    <row r="7" spans="1:19" ht="20.25" customHeight="1" thickBot="1" x14ac:dyDescent="0.25">
      <c r="A7" s="222"/>
      <c r="B7" s="490" t="s">
        <v>637</v>
      </c>
      <c r="C7" s="450" t="s">
        <v>33</v>
      </c>
      <c r="D7" s="374"/>
      <c r="E7" s="255"/>
      <c r="F7" s="451">
        <v>2</v>
      </c>
      <c r="G7" s="452"/>
      <c r="H7" s="258"/>
      <c r="I7" s="258"/>
      <c r="J7" s="222"/>
      <c r="K7" s="489"/>
      <c r="L7" s="1005"/>
      <c r="M7" s="1007"/>
      <c r="N7" s="1008"/>
      <c r="O7" s="1008"/>
      <c r="P7" s="1008"/>
      <c r="Q7" s="1008"/>
      <c r="R7" s="1008"/>
      <c r="S7" s="1008"/>
    </row>
    <row r="8" spans="1:19" ht="18.75" customHeight="1" thickBot="1" x14ac:dyDescent="0.25">
      <c r="A8" s="611"/>
      <c r="B8" s="261" t="s">
        <v>683</v>
      </c>
      <c r="C8" s="669" t="s">
        <v>286</v>
      </c>
      <c r="D8" s="680">
        <v>6.15</v>
      </c>
      <c r="E8" s="670"/>
      <c r="G8" s="452"/>
      <c r="H8" s="258"/>
      <c r="I8" s="258"/>
      <c r="J8" s="222"/>
      <c r="K8" s="489"/>
      <c r="L8" s="1006"/>
    </row>
    <row r="9" spans="1:19" ht="18.75" customHeight="1" x14ac:dyDescent="0.2">
      <c r="A9" s="611"/>
      <c r="B9" s="492" t="s">
        <v>638</v>
      </c>
      <c r="C9" s="450" t="s">
        <v>33</v>
      </c>
      <c r="D9" s="671">
        <f>F6*3.1416*F6/2</f>
        <v>3.0787679999999993</v>
      </c>
      <c r="E9" s="255"/>
      <c r="F9" s="255"/>
      <c r="G9" s="452"/>
      <c r="H9" s="258"/>
      <c r="I9" s="258"/>
      <c r="J9" s="222"/>
      <c r="K9" s="489"/>
      <c r="L9" s="453" t="s">
        <v>635</v>
      </c>
    </row>
    <row r="10" spans="1:19" ht="15.75" customHeight="1" x14ac:dyDescent="0.2">
      <c r="A10" s="222"/>
      <c r="B10" s="492" t="s">
        <v>489</v>
      </c>
      <c r="C10" s="450" t="s">
        <v>33</v>
      </c>
      <c r="D10" s="254"/>
      <c r="E10" s="255"/>
      <c r="F10" s="451">
        <v>0.09</v>
      </c>
      <c r="G10" s="452"/>
      <c r="H10" s="258"/>
      <c r="I10" s="258"/>
      <c r="J10" s="222"/>
      <c r="K10" s="489"/>
      <c r="L10" s="493" t="s">
        <v>490</v>
      </c>
    </row>
    <row r="11" spans="1:19" ht="15.75" customHeight="1" thickBot="1" x14ac:dyDescent="0.25">
      <c r="A11" s="222"/>
      <c r="B11" s="261" t="s">
        <v>632</v>
      </c>
      <c r="C11" s="450" t="s">
        <v>418</v>
      </c>
      <c r="D11" s="374"/>
      <c r="E11" s="255"/>
      <c r="F11" s="255">
        <f>F6+(F10*2)+0.05</f>
        <v>1.63</v>
      </c>
      <c r="G11" s="452"/>
      <c r="H11" s="258"/>
      <c r="I11" s="258"/>
      <c r="J11" s="222"/>
      <c r="K11" s="489"/>
      <c r="L11" s="493" t="s">
        <v>633</v>
      </c>
    </row>
    <row r="12" spans="1:19" ht="15.75" customHeight="1" thickBot="1" x14ac:dyDescent="0.25">
      <c r="A12" s="222"/>
      <c r="B12" s="261" t="s">
        <v>639</v>
      </c>
      <c r="C12" s="669" t="s">
        <v>286</v>
      </c>
      <c r="D12" s="681">
        <f>D9*F7</f>
        <v>6.1575359999999986</v>
      </c>
      <c r="E12" s="670"/>
      <c r="F12" s="255"/>
      <c r="G12" s="452"/>
      <c r="H12" s="258"/>
      <c r="I12" s="258"/>
      <c r="J12" s="222"/>
      <c r="K12" s="489"/>
      <c r="L12" s="493" t="s">
        <v>640</v>
      </c>
    </row>
    <row r="13" spans="1:19" ht="15.75" customHeight="1" x14ac:dyDescent="0.2">
      <c r="A13" s="222"/>
      <c r="B13" s="261" t="s">
        <v>634</v>
      </c>
      <c r="C13" s="450" t="s">
        <v>286</v>
      </c>
      <c r="D13" s="673">
        <f>3.1416*F11*F11/4</f>
        <v>2.0867292599999998</v>
      </c>
      <c r="E13" s="255"/>
      <c r="F13" s="255"/>
      <c r="G13" s="258"/>
      <c r="H13" s="258"/>
      <c r="I13" s="258"/>
      <c r="J13" s="222"/>
      <c r="K13" s="258"/>
      <c r="L13" s="613">
        <v>0</v>
      </c>
    </row>
    <row r="14" spans="1:19" ht="15.75" customHeight="1" x14ac:dyDescent="0.2">
      <c r="A14" s="222"/>
      <c r="B14" s="261" t="s">
        <v>641</v>
      </c>
      <c r="C14" s="450" t="s">
        <v>286</v>
      </c>
      <c r="D14" s="587">
        <f>2*3.1416*F11/2</f>
        <v>5.1208079999999994</v>
      </c>
      <c r="E14" s="255"/>
      <c r="F14" s="255"/>
      <c r="G14" s="478"/>
      <c r="H14" s="258"/>
      <c r="I14" s="468"/>
      <c r="J14" s="222"/>
      <c r="K14" s="258"/>
      <c r="L14" s="453" t="s">
        <v>726</v>
      </c>
    </row>
    <row r="15" spans="1:19" ht="15.75" customHeight="1" x14ac:dyDescent="0.2">
      <c r="A15" s="222"/>
      <c r="B15" s="261"/>
      <c r="C15" s="450"/>
      <c r="D15" s="454"/>
      <c r="E15" s="255"/>
      <c r="F15" s="255"/>
      <c r="G15" s="478"/>
      <c r="H15" s="258"/>
      <c r="I15" s="258"/>
      <c r="J15" s="222"/>
      <c r="K15" s="258"/>
      <c r="L15" s="453"/>
    </row>
    <row r="16" spans="1:19" ht="15.75" customHeight="1" x14ac:dyDescent="0.2">
      <c r="A16" s="222"/>
      <c r="B16" s="612" t="s">
        <v>648</v>
      </c>
      <c r="C16" s="443" t="s">
        <v>416</v>
      </c>
      <c r="E16" s="255"/>
      <c r="F16" s="255"/>
      <c r="G16" s="478"/>
      <c r="H16" s="258"/>
      <c r="I16" s="258"/>
      <c r="J16" s="458">
        <f>F7*D13</f>
        <v>4.1734585199999996</v>
      </c>
      <c r="K16" s="443" t="s">
        <v>416</v>
      </c>
      <c r="L16" s="453"/>
    </row>
    <row r="17" spans="1:14" ht="15.75" customHeight="1" x14ac:dyDescent="0.2">
      <c r="A17" s="611"/>
      <c r="B17" s="219"/>
      <c r="C17" s="443"/>
      <c r="D17" s="458"/>
      <c r="E17" s="616"/>
      <c r="F17" s="616"/>
      <c r="G17" s="459"/>
      <c r="H17" s="460"/>
      <c r="I17" s="460"/>
      <c r="J17" s="458"/>
      <c r="K17" s="443"/>
      <c r="L17" s="453"/>
    </row>
    <row r="18" spans="1:14" ht="15.75" customHeight="1" x14ac:dyDescent="0.2">
      <c r="A18" s="611" t="s">
        <v>612</v>
      </c>
      <c r="B18" s="610" t="s">
        <v>622</v>
      </c>
      <c r="C18" s="443"/>
      <c r="D18" s="458"/>
      <c r="E18" s="616"/>
      <c r="F18" s="616"/>
      <c r="G18" s="459"/>
      <c r="H18" s="258"/>
      <c r="I18" s="460"/>
      <c r="J18" s="454"/>
      <c r="K18" s="222"/>
      <c r="L18" s="453"/>
    </row>
    <row r="19" spans="1:14" ht="15.75" customHeight="1" x14ac:dyDescent="0.2">
      <c r="A19" s="258"/>
      <c r="B19" s="261" t="s">
        <v>645</v>
      </c>
      <c r="C19" s="443" t="s">
        <v>33</v>
      </c>
      <c r="D19" s="454"/>
      <c r="E19" s="255"/>
      <c r="F19" s="255"/>
      <c r="G19" s="659">
        <v>0.46</v>
      </c>
      <c r="H19" s="258"/>
      <c r="I19" s="258"/>
      <c r="J19" s="222"/>
      <c r="K19" s="258"/>
      <c r="L19" s="258" t="s">
        <v>491</v>
      </c>
    </row>
    <row r="20" spans="1:14" ht="15.75" customHeight="1" x14ac:dyDescent="0.2">
      <c r="A20" s="222"/>
      <c r="B20" s="492" t="s">
        <v>646</v>
      </c>
      <c r="C20" s="450" t="s">
        <v>33</v>
      </c>
      <c r="D20" s="458"/>
      <c r="E20" s="616"/>
      <c r="F20" s="451">
        <v>0.14000000000000001</v>
      </c>
      <c r="G20" s="459"/>
      <c r="H20" s="258"/>
      <c r="I20" s="460"/>
      <c r="J20" s="454"/>
      <c r="K20" s="222"/>
      <c r="L20" s="258" t="s">
        <v>643</v>
      </c>
    </row>
    <row r="21" spans="1:14" ht="15.75" customHeight="1" x14ac:dyDescent="0.2">
      <c r="A21" s="258"/>
      <c r="B21" s="261" t="s">
        <v>649</v>
      </c>
      <c r="C21" s="450" t="s">
        <v>418</v>
      </c>
      <c r="D21" s="254"/>
      <c r="E21" s="255"/>
      <c r="F21" s="255">
        <f>F6+((0.48/2)*2)+(0.03*2)+(F20*2)</f>
        <v>2.2199999999999998</v>
      </c>
      <c r="G21" s="258"/>
      <c r="H21" s="258"/>
      <c r="I21" s="258"/>
      <c r="J21" s="222"/>
      <c r="K21" s="258"/>
      <c r="L21" s="658" t="s">
        <v>642</v>
      </c>
      <c r="N21" s="212"/>
    </row>
    <row r="22" spans="1:14" ht="15.75" customHeight="1" x14ac:dyDescent="0.2">
      <c r="A22" s="258"/>
      <c r="B22" s="261" t="s">
        <v>647</v>
      </c>
      <c r="C22" s="450" t="s">
        <v>286</v>
      </c>
      <c r="D22" s="454">
        <f>3.1416*F21*F21/4</f>
        <v>3.8707653599999987</v>
      </c>
      <c r="E22" s="255"/>
      <c r="F22" s="255"/>
      <c r="G22" s="258"/>
      <c r="H22" s="258"/>
      <c r="I22" s="258"/>
      <c r="J22" s="222"/>
      <c r="K22" s="258"/>
      <c r="L22" s="613" t="s">
        <v>421</v>
      </c>
      <c r="N22" s="212"/>
    </row>
    <row r="23" spans="1:14" ht="15.75" customHeight="1" x14ac:dyDescent="0.2">
      <c r="A23" s="222"/>
      <c r="B23" s="219"/>
      <c r="C23" s="443"/>
      <c r="D23" s="458"/>
      <c r="E23" s="616"/>
      <c r="F23" s="616"/>
      <c r="G23" s="459"/>
      <c r="H23" s="460"/>
      <c r="I23" s="460"/>
      <c r="J23" s="458"/>
      <c r="K23" s="222"/>
      <c r="L23" s="453"/>
    </row>
    <row r="24" spans="1:14" ht="15.75" customHeight="1" x14ac:dyDescent="0.2">
      <c r="A24" s="222"/>
      <c r="B24" s="612" t="s">
        <v>650</v>
      </c>
      <c r="C24" s="443" t="s">
        <v>416</v>
      </c>
      <c r="D24" s="458"/>
      <c r="E24" s="616"/>
      <c r="F24" s="616"/>
      <c r="G24" s="459"/>
      <c r="H24" s="460"/>
      <c r="I24" s="460"/>
      <c r="J24" s="458">
        <f>D22*G19</f>
        <v>1.7805520655999996</v>
      </c>
      <c r="K24" s="443" t="s">
        <v>416</v>
      </c>
      <c r="L24" s="453"/>
    </row>
    <row r="25" spans="1:14" ht="15.75" customHeight="1" x14ac:dyDescent="0.2">
      <c r="A25" s="222"/>
      <c r="B25" s="612" t="s">
        <v>651</v>
      </c>
      <c r="C25" s="443" t="s">
        <v>416</v>
      </c>
      <c r="D25" s="458"/>
      <c r="E25" s="616"/>
      <c r="F25" s="616"/>
      <c r="G25" s="459"/>
      <c r="H25" s="494"/>
      <c r="I25" s="460"/>
      <c r="J25" s="458">
        <f>J16+J24</f>
        <v>5.954010585599999</v>
      </c>
      <c r="K25" s="443" t="s">
        <v>416</v>
      </c>
      <c r="L25" s="453"/>
    </row>
    <row r="26" spans="1:14" ht="15.75" customHeight="1" x14ac:dyDescent="0.2">
      <c r="A26" s="222"/>
      <c r="B26" s="612"/>
      <c r="C26" s="443"/>
      <c r="D26" s="458"/>
      <c r="E26" s="616"/>
      <c r="F26" s="616"/>
      <c r="G26" s="459"/>
      <c r="H26" s="494"/>
      <c r="I26" s="460"/>
      <c r="J26" s="458"/>
      <c r="K26" s="443"/>
      <c r="L26" s="453"/>
    </row>
    <row r="27" spans="1:14" ht="28.5" customHeight="1" x14ac:dyDescent="0.2">
      <c r="A27" s="222" t="s">
        <v>8</v>
      </c>
      <c r="B27" s="610" t="s">
        <v>610</v>
      </c>
      <c r="C27" s="450" t="s">
        <v>35</v>
      </c>
      <c r="D27" s="458">
        <f>J32</f>
        <v>12.597187679999998</v>
      </c>
      <c r="E27" s="616"/>
      <c r="F27" s="616"/>
      <c r="G27" s="459"/>
      <c r="H27" s="494"/>
      <c r="I27" s="460"/>
      <c r="J27" s="458"/>
      <c r="K27" s="443"/>
      <c r="L27" s="453"/>
    </row>
    <row r="28" spans="1:14" ht="15.75" customHeight="1" x14ac:dyDescent="0.2">
      <c r="A28" s="222"/>
      <c r="B28" s="261" t="s">
        <v>653</v>
      </c>
      <c r="C28" s="443" t="s">
        <v>33</v>
      </c>
      <c r="D28" s="458"/>
      <c r="E28" s="616"/>
      <c r="F28" s="616"/>
      <c r="G28" s="452">
        <f>F7+G19</f>
        <v>2.46</v>
      </c>
      <c r="H28" s="494"/>
      <c r="I28" s="460"/>
      <c r="K28" s="443"/>
      <c r="L28" s="258" t="s">
        <v>654</v>
      </c>
    </row>
    <row r="29" spans="1:14" ht="15.75" customHeight="1" x14ac:dyDescent="0.2">
      <c r="A29" s="222"/>
      <c r="B29" s="261" t="s">
        <v>632</v>
      </c>
      <c r="C29" s="450" t="s">
        <v>418</v>
      </c>
      <c r="D29" s="254"/>
      <c r="E29" s="255"/>
      <c r="F29" s="255">
        <f>F11</f>
        <v>1.63</v>
      </c>
      <c r="G29" s="248"/>
      <c r="H29" s="494"/>
      <c r="I29" s="460"/>
      <c r="J29" s="459"/>
      <c r="K29" s="443"/>
      <c r="L29" s="258"/>
    </row>
    <row r="30" spans="1:14" ht="15.75" customHeight="1" x14ac:dyDescent="0.2">
      <c r="A30" s="222"/>
      <c r="B30" s="261" t="s">
        <v>641</v>
      </c>
      <c r="C30" s="443" t="s">
        <v>33</v>
      </c>
      <c r="D30" s="454">
        <f>D14</f>
        <v>5.1208079999999994</v>
      </c>
      <c r="E30" s="616"/>
      <c r="F30" s="616"/>
      <c r="G30" s="248"/>
      <c r="H30" s="494"/>
      <c r="I30" s="460"/>
      <c r="J30" s="459"/>
      <c r="K30" s="443"/>
      <c r="L30" s="258"/>
    </row>
    <row r="31" spans="1:14" ht="15.75" customHeight="1" x14ac:dyDescent="0.2">
      <c r="A31" s="222"/>
      <c r="B31" s="261"/>
      <c r="C31" s="443"/>
      <c r="D31" s="454"/>
      <c r="E31" s="616"/>
      <c r="F31" s="616"/>
      <c r="G31" s="248"/>
      <c r="H31" s="494"/>
      <c r="I31" s="460"/>
      <c r="J31" s="459"/>
      <c r="K31" s="443"/>
      <c r="L31" s="258"/>
    </row>
    <row r="32" spans="1:14" ht="15.75" customHeight="1" x14ac:dyDescent="0.2">
      <c r="A32" s="222"/>
      <c r="B32" s="612" t="s">
        <v>656</v>
      </c>
      <c r="C32" s="450" t="s">
        <v>35</v>
      </c>
      <c r="D32" s="358"/>
      <c r="E32" s="616"/>
      <c r="F32" s="616"/>
      <c r="G32" s="358"/>
      <c r="H32" s="494"/>
      <c r="I32" s="460"/>
      <c r="J32" s="458">
        <f>D30*G28</f>
        <v>12.597187679999998</v>
      </c>
      <c r="K32" s="450" t="s">
        <v>35</v>
      </c>
      <c r="L32" s="258"/>
    </row>
    <row r="33" spans="1:12" ht="15.75" customHeight="1" x14ac:dyDescent="0.2">
      <c r="A33" s="222"/>
      <c r="B33" s="261"/>
      <c r="C33" s="491"/>
      <c r="D33" s="454"/>
      <c r="E33" s="616"/>
      <c r="F33" s="616"/>
      <c r="G33" s="248"/>
      <c r="H33" s="494"/>
      <c r="I33" s="460"/>
      <c r="J33" s="459"/>
      <c r="K33" s="443"/>
      <c r="L33" s="258"/>
    </row>
    <row r="34" spans="1:12" ht="15.75" customHeight="1" x14ac:dyDescent="0.2">
      <c r="A34" s="222"/>
      <c r="B34" s="219"/>
      <c r="C34" s="443"/>
      <c r="D34" s="458"/>
      <c r="E34" s="616"/>
      <c r="F34" s="616"/>
      <c r="G34" s="459"/>
      <c r="H34" s="460"/>
      <c r="I34" s="460"/>
      <c r="J34" s="458"/>
      <c r="K34" s="222"/>
      <c r="L34" s="453"/>
    </row>
    <row r="35" spans="1:12" ht="41.25" customHeight="1" x14ac:dyDescent="0.2">
      <c r="A35" s="222" t="s">
        <v>24</v>
      </c>
      <c r="B35" s="610" t="s">
        <v>659</v>
      </c>
      <c r="C35" s="443" t="s">
        <v>35</v>
      </c>
      <c r="D35" s="458">
        <f>J40</f>
        <v>9.3619679999999992</v>
      </c>
      <c r="E35" s="255"/>
      <c r="F35" s="255"/>
      <c r="G35" s="339"/>
      <c r="H35" s="258"/>
      <c r="I35" s="258"/>
      <c r="J35" s="222"/>
      <c r="K35" s="258"/>
      <c r="L35" s="443" t="s">
        <v>662</v>
      </c>
    </row>
    <row r="36" spans="1:12" ht="15.75" customHeight="1" x14ac:dyDescent="0.2">
      <c r="A36" s="222"/>
      <c r="B36" s="261" t="s">
        <v>661</v>
      </c>
      <c r="C36" s="450" t="s">
        <v>33</v>
      </c>
      <c r="D36" s="258"/>
      <c r="E36" s="255"/>
      <c r="F36" s="255">
        <f>F6+((F10/2)*2)</f>
        <v>1.49</v>
      </c>
      <c r="G36" s="266"/>
      <c r="H36" s="258"/>
      <c r="I36" s="258"/>
      <c r="J36" s="222"/>
      <c r="K36" s="258"/>
      <c r="L36" s="453"/>
    </row>
    <row r="37" spans="1:12" ht="15.75" customHeight="1" x14ac:dyDescent="0.2">
      <c r="A37" s="222"/>
      <c r="B37" s="261" t="s">
        <v>492</v>
      </c>
      <c r="C37" s="443" t="s">
        <v>33</v>
      </c>
      <c r="D37" s="254">
        <f>2*3.1416*F36/2</f>
        <v>4.6809839999999996</v>
      </c>
      <c r="E37" s="222"/>
      <c r="F37" s="258"/>
      <c r="G37" s="463"/>
      <c r="H37" s="222"/>
      <c r="I37" s="222"/>
      <c r="J37" s="222"/>
      <c r="K37" s="222"/>
      <c r="L37" s="495" t="s">
        <v>493</v>
      </c>
    </row>
    <row r="38" spans="1:12" ht="15.75" customHeight="1" x14ac:dyDescent="0.2">
      <c r="A38" s="222"/>
      <c r="B38" s="490" t="s">
        <v>637</v>
      </c>
      <c r="C38" s="443" t="s">
        <v>33</v>
      </c>
      <c r="D38" s="222"/>
      <c r="E38" s="255"/>
      <c r="F38" s="255"/>
      <c r="G38" s="454">
        <f>F7</f>
        <v>2</v>
      </c>
      <c r="H38" s="222"/>
      <c r="I38" s="222"/>
      <c r="J38" s="222"/>
      <c r="K38" s="222"/>
      <c r="L38" s="258"/>
    </row>
    <row r="39" spans="1:12" ht="15.75" customHeight="1" x14ac:dyDescent="0.2">
      <c r="A39" s="222"/>
      <c r="B39" s="261"/>
      <c r="C39" s="443"/>
      <c r="D39" s="454"/>
      <c r="E39" s="255"/>
      <c r="F39" s="255"/>
      <c r="G39" s="454"/>
      <c r="H39" s="222"/>
      <c r="I39" s="222"/>
      <c r="J39" s="222"/>
      <c r="K39" s="222"/>
      <c r="L39" s="258"/>
    </row>
    <row r="40" spans="1:12" ht="15.75" customHeight="1" x14ac:dyDescent="0.2">
      <c r="A40" s="222"/>
      <c r="B40" s="612" t="s">
        <v>663</v>
      </c>
      <c r="C40" s="443" t="s">
        <v>35</v>
      </c>
      <c r="D40" s="458"/>
      <c r="E40" s="255"/>
      <c r="F40" s="255"/>
      <c r="G40" s="463"/>
      <c r="H40" s="222"/>
      <c r="I40" s="222"/>
      <c r="J40" s="458">
        <f>D37*G38</f>
        <v>9.3619679999999992</v>
      </c>
      <c r="K40" s="443" t="s">
        <v>35</v>
      </c>
      <c r="L40" s="613"/>
    </row>
    <row r="41" spans="1:12" ht="15.75" customHeight="1" x14ac:dyDescent="0.2">
      <c r="A41" s="222"/>
      <c r="B41" s="219"/>
      <c r="C41" s="443"/>
      <c r="D41" s="458"/>
      <c r="E41" s="255"/>
      <c r="F41" s="255"/>
      <c r="G41" s="463"/>
      <c r="H41" s="222"/>
      <c r="I41" s="222"/>
      <c r="J41" s="458"/>
      <c r="K41" s="443"/>
      <c r="L41" s="613"/>
    </row>
    <row r="42" spans="1:12" ht="58.5" customHeight="1" x14ac:dyDescent="0.2">
      <c r="A42" s="222" t="s">
        <v>25</v>
      </c>
      <c r="B42" s="610" t="s">
        <v>494</v>
      </c>
      <c r="C42" s="443" t="s">
        <v>35</v>
      </c>
      <c r="D42" s="458">
        <f>J47</f>
        <v>2.9028383999999998</v>
      </c>
      <c r="E42" s="255"/>
      <c r="F42" s="255"/>
      <c r="G42" s="496"/>
      <c r="H42" s="222"/>
      <c r="I42" s="222"/>
      <c r="J42" s="458"/>
      <c r="K42" s="443"/>
      <c r="L42" s="613"/>
    </row>
    <row r="43" spans="1:12" ht="15.75" customHeight="1" x14ac:dyDescent="0.2">
      <c r="A43" s="222"/>
      <c r="B43" s="261" t="s">
        <v>495</v>
      </c>
      <c r="C43" s="482" t="s">
        <v>418</v>
      </c>
      <c r="D43" s="258"/>
      <c r="E43" s="255"/>
      <c r="F43" s="255">
        <f>F6+((F20/2)*2)</f>
        <v>1.54</v>
      </c>
      <c r="G43" s="339"/>
      <c r="H43" s="258"/>
      <c r="I43" s="258"/>
      <c r="J43" s="222"/>
      <c r="K43" s="258"/>
      <c r="L43" s="453" t="s">
        <v>652</v>
      </c>
    </row>
    <row r="44" spans="1:12" ht="15.75" customHeight="1" x14ac:dyDescent="0.2">
      <c r="A44" s="222"/>
      <c r="B44" s="261" t="s">
        <v>496</v>
      </c>
      <c r="C44" s="222" t="s">
        <v>33</v>
      </c>
      <c r="D44" s="254">
        <f>2*3.1416*F43/2</f>
        <v>4.8380640000000001</v>
      </c>
      <c r="E44" s="222"/>
      <c r="F44" s="258"/>
      <c r="G44" s="496"/>
      <c r="H44" s="222"/>
      <c r="I44" s="222"/>
      <c r="J44" s="222"/>
      <c r="K44" s="222"/>
      <c r="L44" s="613" t="s">
        <v>497</v>
      </c>
    </row>
    <row r="45" spans="1:12" ht="15.75" customHeight="1" x14ac:dyDescent="0.2">
      <c r="A45" s="222"/>
      <c r="B45" s="261" t="s">
        <v>498</v>
      </c>
      <c r="C45" s="222" t="s">
        <v>33</v>
      </c>
      <c r="D45" s="222"/>
      <c r="E45" s="255"/>
      <c r="F45" s="255"/>
      <c r="G45" s="466">
        <v>0.6</v>
      </c>
      <c r="H45" s="222"/>
      <c r="I45" s="222"/>
      <c r="J45" s="222"/>
      <c r="K45" s="222"/>
      <c r="L45" s="258" t="s">
        <v>499</v>
      </c>
    </row>
    <row r="46" spans="1:12" ht="15.75" customHeight="1" x14ac:dyDescent="0.2">
      <c r="A46" s="222"/>
      <c r="B46" s="261"/>
      <c r="C46" s="222"/>
      <c r="D46" s="222"/>
      <c r="E46" s="255"/>
      <c r="F46" s="255"/>
      <c r="G46" s="454"/>
      <c r="H46" s="222"/>
      <c r="I46" s="222"/>
      <c r="J46" s="222"/>
      <c r="K46" s="222"/>
      <c r="L46" s="258"/>
    </row>
    <row r="47" spans="1:12" ht="15.75" customHeight="1" x14ac:dyDescent="0.2">
      <c r="A47" s="222"/>
      <c r="B47" s="612" t="s">
        <v>500</v>
      </c>
      <c r="C47" s="443" t="s">
        <v>35</v>
      </c>
      <c r="D47" s="454"/>
      <c r="E47" s="255"/>
      <c r="F47" s="255"/>
      <c r="G47" s="454"/>
      <c r="H47" s="222"/>
      <c r="I47" s="222"/>
      <c r="J47" s="458">
        <f>D44*G45</f>
        <v>2.9028383999999998</v>
      </c>
      <c r="K47" s="443" t="s">
        <v>35</v>
      </c>
      <c r="L47" s="258"/>
    </row>
    <row r="48" spans="1:12" ht="15.75" customHeight="1" x14ac:dyDescent="0.2">
      <c r="A48" s="222"/>
      <c r="B48" s="219"/>
      <c r="C48" s="443"/>
      <c r="D48" s="458"/>
      <c r="E48" s="255"/>
      <c r="F48" s="255"/>
      <c r="G48" s="258"/>
      <c r="H48" s="222"/>
      <c r="I48" s="222"/>
      <c r="J48" s="454"/>
      <c r="K48" s="222"/>
      <c r="L48" s="613"/>
    </row>
    <row r="49" spans="1:12" ht="15.75" customHeight="1" x14ac:dyDescent="0.2">
      <c r="A49" s="222"/>
      <c r="B49" s="258"/>
      <c r="C49" s="443"/>
      <c r="D49" s="458"/>
      <c r="E49" s="255"/>
      <c r="F49" s="255"/>
      <c r="G49" s="463"/>
      <c r="H49" s="222"/>
      <c r="I49" s="222"/>
      <c r="J49" s="454"/>
      <c r="K49" s="222"/>
      <c r="L49" s="613"/>
    </row>
    <row r="50" spans="1:12" ht="51.75" customHeight="1" x14ac:dyDescent="0.2">
      <c r="A50" s="222" t="s">
        <v>26</v>
      </c>
      <c r="B50" s="586" t="s">
        <v>265</v>
      </c>
      <c r="C50" s="443" t="s">
        <v>35</v>
      </c>
      <c r="D50" s="449">
        <f>J66</f>
        <v>6.2806867199999985</v>
      </c>
      <c r="E50" s="255"/>
      <c r="F50" s="255"/>
      <c r="G50" s="339"/>
      <c r="H50" s="258"/>
      <c r="I50" s="258"/>
      <c r="J50" s="222"/>
      <c r="K50" s="258"/>
      <c r="L50" s="453"/>
    </row>
    <row r="51" spans="1:12" ht="15.75" customHeight="1" x14ac:dyDescent="0.2">
      <c r="A51" s="222"/>
      <c r="B51" s="261" t="s">
        <v>664</v>
      </c>
      <c r="C51" s="482" t="s">
        <v>418</v>
      </c>
      <c r="D51" s="258"/>
      <c r="E51" s="255"/>
      <c r="F51" s="254">
        <f>F6</f>
        <v>1.4</v>
      </c>
      <c r="G51" s="266"/>
      <c r="H51" s="258"/>
      <c r="I51" s="258"/>
      <c r="J51" s="222"/>
      <c r="K51" s="258"/>
      <c r="L51" s="613" t="s">
        <v>667</v>
      </c>
    </row>
    <row r="52" spans="1:12" ht="15.75" customHeight="1" x14ac:dyDescent="0.2">
      <c r="A52" s="222"/>
      <c r="B52" s="261" t="s">
        <v>502</v>
      </c>
      <c r="C52" s="222" t="s">
        <v>33</v>
      </c>
      <c r="D52" s="222"/>
      <c r="E52" s="255"/>
      <c r="F52" s="255"/>
      <c r="G52" s="254">
        <f>G45</f>
        <v>0.6</v>
      </c>
      <c r="H52" s="258"/>
      <c r="I52" s="258"/>
      <c r="J52" s="222"/>
      <c r="K52" s="258"/>
      <c r="L52" s="258"/>
    </row>
    <row r="53" spans="1:12" ht="15.75" customHeight="1" x14ac:dyDescent="0.2">
      <c r="A53" s="222"/>
      <c r="B53" s="261" t="s">
        <v>501</v>
      </c>
      <c r="C53" s="222" t="s">
        <v>33</v>
      </c>
      <c r="D53" s="254">
        <f>2*3.1416*F51/2</f>
        <v>4.3982399999999995</v>
      </c>
      <c r="E53" s="258"/>
      <c r="F53" s="255"/>
      <c r="G53" s="266"/>
      <c r="H53" s="258"/>
      <c r="I53" s="258"/>
      <c r="J53" s="222"/>
      <c r="K53" s="258"/>
      <c r="L53" s="258" t="s">
        <v>475</v>
      </c>
    </row>
    <row r="54" spans="1:12" ht="15.75" customHeight="1" x14ac:dyDescent="0.2">
      <c r="A54" s="222"/>
      <c r="B54" s="261" t="s">
        <v>503</v>
      </c>
      <c r="C54" s="222" t="s">
        <v>35</v>
      </c>
      <c r="E54" s="255"/>
      <c r="F54" s="255"/>
      <c r="G54" s="266"/>
      <c r="H54" s="258"/>
      <c r="I54" s="258"/>
      <c r="J54" s="454">
        <f>D53*G52</f>
        <v>2.6389439999999995</v>
      </c>
      <c r="K54" s="222" t="s">
        <v>35</v>
      </c>
      <c r="L54" s="258" t="s">
        <v>504</v>
      </c>
    </row>
    <row r="55" spans="1:12" ht="15.75" customHeight="1" x14ac:dyDescent="0.2">
      <c r="A55" s="222"/>
      <c r="B55" s="261"/>
      <c r="C55" s="222"/>
      <c r="D55" s="254"/>
      <c r="E55" s="255"/>
      <c r="F55" s="255"/>
      <c r="G55" s="266"/>
      <c r="H55" s="258"/>
      <c r="I55" s="258"/>
      <c r="J55" s="222"/>
      <c r="K55" s="258"/>
      <c r="L55" s="258"/>
    </row>
    <row r="56" spans="1:12" ht="15.75" customHeight="1" x14ac:dyDescent="0.2">
      <c r="A56" s="222"/>
      <c r="B56" s="261" t="s">
        <v>473</v>
      </c>
      <c r="C56" s="482" t="s">
        <v>418</v>
      </c>
      <c r="D56" s="258"/>
      <c r="E56" s="255"/>
      <c r="F56" s="254">
        <f>F6+F20</f>
        <v>1.54</v>
      </c>
      <c r="G56" s="266"/>
      <c r="H56" s="258"/>
      <c r="I56" s="258"/>
      <c r="J56" s="222"/>
      <c r="K56" s="258"/>
      <c r="L56" s="613" t="s">
        <v>668</v>
      </c>
    </row>
    <row r="57" spans="1:12" ht="15.75" customHeight="1" x14ac:dyDescent="0.2">
      <c r="A57" s="222"/>
      <c r="B57" s="261" t="s">
        <v>502</v>
      </c>
      <c r="C57" s="222" t="s">
        <v>33</v>
      </c>
      <c r="D57" s="222"/>
      <c r="E57" s="255"/>
      <c r="F57" s="255"/>
      <c r="G57" s="254">
        <f>G45</f>
        <v>0.6</v>
      </c>
      <c r="H57" s="258"/>
      <c r="I57" s="258"/>
      <c r="J57" s="222"/>
      <c r="K57" s="258"/>
      <c r="L57" s="258"/>
    </row>
    <row r="58" spans="1:12" ht="15.75" customHeight="1" x14ac:dyDescent="0.2">
      <c r="A58" s="222"/>
      <c r="B58" s="261" t="s">
        <v>505</v>
      </c>
      <c r="C58" s="222" t="s">
        <v>33</v>
      </c>
      <c r="D58" s="254">
        <f>2*3.1416*F56/2</f>
        <v>4.8380640000000001</v>
      </c>
      <c r="E58" s="258"/>
      <c r="F58" s="255"/>
      <c r="G58" s="266"/>
      <c r="H58" s="258"/>
      <c r="I58" s="258"/>
      <c r="J58" s="222"/>
      <c r="K58" s="258"/>
      <c r="L58" s="258" t="s">
        <v>665</v>
      </c>
    </row>
    <row r="59" spans="1:12" ht="15.75" customHeight="1" x14ac:dyDescent="0.2">
      <c r="A59" s="222"/>
      <c r="B59" s="261" t="s">
        <v>506</v>
      </c>
      <c r="C59" s="222" t="s">
        <v>35</v>
      </c>
      <c r="D59" s="222"/>
      <c r="E59" s="255"/>
      <c r="F59" s="255"/>
      <c r="G59" s="266"/>
      <c r="H59" s="258"/>
      <c r="I59" s="258"/>
      <c r="J59" s="254">
        <f>D58*G57</f>
        <v>2.9028383999999998</v>
      </c>
      <c r="K59" s="222" t="s">
        <v>35</v>
      </c>
      <c r="L59" s="258"/>
    </row>
    <row r="60" spans="1:12" ht="15.75" customHeight="1" x14ac:dyDescent="0.2">
      <c r="A60" s="222"/>
      <c r="B60" s="261"/>
      <c r="C60" s="222"/>
      <c r="D60" s="254"/>
      <c r="E60" s="255"/>
      <c r="F60" s="255"/>
      <c r="G60" s="266"/>
      <c r="H60" s="258"/>
      <c r="I60" s="258"/>
      <c r="J60" s="222"/>
      <c r="K60" s="258"/>
      <c r="L60" s="258"/>
    </row>
    <row r="61" spans="1:12" ht="15.75" customHeight="1" x14ac:dyDescent="0.2">
      <c r="A61" s="222"/>
      <c r="B61" s="261" t="s">
        <v>474</v>
      </c>
      <c r="C61" s="482" t="s">
        <v>418</v>
      </c>
      <c r="D61" s="258"/>
      <c r="E61" s="255"/>
      <c r="F61" s="254">
        <f>F6+(F20*2)</f>
        <v>1.68</v>
      </c>
      <c r="G61" s="266"/>
      <c r="H61" s="258"/>
      <c r="I61" s="258"/>
      <c r="J61" s="222"/>
      <c r="K61" s="258"/>
      <c r="L61" s="258" t="s">
        <v>666</v>
      </c>
    </row>
    <row r="62" spans="1:12" ht="15.75" customHeight="1" x14ac:dyDescent="0.2">
      <c r="A62" s="222"/>
      <c r="B62" s="261" t="s">
        <v>507</v>
      </c>
      <c r="C62" s="222" t="s">
        <v>33</v>
      </c>
      <c r="D62" s="254">
        <f>2*3.1416*F61/2</f>
        <v>5.2778879999999999</v>
      </c>
      <c r="E62" s="258"/>
      <c r="F62" s="255"/>
      <c r="G62" s="266"/>
      <c r="H62" s="258"/>
      <c r="I62" s="258"/>
      <c r="J62" s="222"/>
      <c r="K62" s="258"/>
      <c r="L62" s="258" t="s">
        <v>508</v>
      </c>
    </row>
    <row r="63" spans="1:12" ht="15.75" customHeight="1" x14ac:dyDescent="0.2">
      <c r="A63" s="222"/>
      <c r="B63" s="261" t="s">
        <v>509</v>
      </c>
      <c r="C63" s="222" t="s">
        <v>33</v>
      </c>
      <c r="D63" s="222"/>
      <c r="E63" s="255"/>
      <c r="F63" s="255"/>
      <c r="G63" s="254">
        <f>F20</f>
        <v>0.14000000000000001</v>
      </c>
      <c r="H63" s="258"/>
      <c r="I63" s="258"/>
      <c r="J63" s="222"/>
      <c r="K63" s="258"/>
      <c r="L63" s="258" t="s">
        <v>510</v>
      </c>
    </row>
    <row r="64" spans="1:12" ht="15.75" customHeight="1" x14ac:dyDescent="0.2">
      <c r="A64" s="222"/>
      <c r="B64" s="261" t="s">
        <v>511</v>
      </c>
      <c r="C64" s="222" t="s">
        <v>35</v>
      </c>
      <c r="E64" s="255"/>
      <c r="F64" s="255"/>
      <c r="G64" s="266"/>
      <c r="H64" s="258"/>
      <c r="I64" s="258"/>
      <c r="J64" s="454">
        <f>D62*G63</f>
        <v>0.73890432000000006</v>
      </c>
      <c r="K64" s="222" t="s">
        <v>35</v>
      </c>
      <c r="L64" s="258"/>
    </row>
    <row r="65" spans="1:12" ht="15.75" customHeight="1" x14ac:dyDescent="0.2">
      <c r="A65" s="222"/>
      <c r="B65" s="261"/>
      <c r="C65" s="222"/>
      <c r="D65" s="254"/>
      <c r="E65" s="255"/>
      <c r="F65" s="255"/>
      <c r="G65" s="266"/>
      <c r="H65" s="258"/>
      <c r="I65" s="258"/>
      <c r="J65" s="222"/>
      <c r="K65" s="258"/>
      <c r="L65" s="453"/>
    </row>
    <row r="66" spans="1:12" ht="15.75" customHeight="1" x14ac:dyDescent="0.2">
      <c r="A66" s="222"/>
      <c r="B66" s="612" t="s">
        <v>669</v>
      </c>
      <c r="C66" s="443" t="s">
        <v>35</v>
      </c>
      <c r="D66" s="222"/>
      <c r="E66" s="255"/>
      <c r="F66" s="255"/>
      <c r="G66" s="266"/>
      <c r="H66" s="258"/>
      <c r="I66" s="258"/>
      <c r="J66" s="449">
        <f>J54+J59+J64</f>
        <v>6.2806867199999985</v>
      </c>
      <c r="K66" s="443" t="s">
        <v>35</v>
      </c>
      <c r="L66" s="258" t="s">
        <v>444</v>
      </c>
    </row>
    <row r="67" spans="1:12" ht="15.75" customHeight="1" x14ac:dyDescent="0.2">
      <c r="A67" s="222"/>
      <c r="B67" s="219"/>
      <c r="C67" s="258"/>
      <c r="D67" s="254"/>
      <c r="E67" s="255"/>
      <c r="F67" s="255"/>
      <c r="G67" s="266"/>
      <c r="H67" s="258"/>
      <c r="I67" s="258"/>
      <c r="J67" s="222"/>
      <c r="K67" s="258"/>
      <c r="L67" s="453"/>
    </row>
    <row r="68" spans="1:12" ht="52.5" customHeight="1" x14ac:dyDescent="0.2">
      <c r="A68" s="222" t="s">
        <v>27</v>
      </c>
      <c r="B68" s="610" t="s">
        <v>674</v>
      </c>
      <c r="C68" s="443" t="s">
        <v>35</v>
      </c>
      <c r="D68" s="449">
        <f>J69</f>
        <v>6.9087553919999989</v>
      </c>
      <c r="E68" s="255"/>
      <c r="F68" s="255"/>
      <c r="G68" s="339"/>
      <c r="H68" s="258"/>
      <c r="I68" s="258"/>
      <c r="J68" s="222"/>
      <c r="K68" s="258"/>
      <c r="L68" s="453"/>
    </row>
    <row r="69" spans="1:12" ht="15.75" customHeight="1" x14ac:dyDescent="0.2">
      <c r="A69" s="222"/>
      <c r="B69" s="612" t="s">
        <v>670</v>
      </c>
      <c r="C69" s="222"/>
      <c r="D69" s="222"/>
      <c r="E69" s="255"/>
      <c r="F69" s="255"/>
      <c r="G69" s="266"/>
      <c r="H69" s="258"/>
      <c r="I69" s="497"/>
      <c r="J69" s="449">
        <f>J66*1.1</f>
        <v>6.9087553919999989</v>
      </c>
      <c r="K69" s="443" t="s">
        <v>35</v>
      </c>
      <c r="L69" s="453" t="s">
        <v>744</v>
      </c>
    </row>
    <row r="70" spans="1:12" ht="15.75" customHeight="1" x14ac:dyDescent="0.2">
      <c r="A70" s="222"/>
      <c r="B70" s="612"/>
      <c r="C70" s="222"/>
      <c r="D70" s="222"/>
      <c r="E70" s="255"/>
      <c r="F70" s="255"/>
      <c r="G70" s="266"/>
      <c r="H70" s="258"/>
      <c r="I70" s="497"/>
      <c r="J70" s="449"/>
      <c r="K70" s="443"/>
      <c r="L70" s="453"/>
    </row>
    <row r="71" spans="1:12" ht="45" customHeight="1" x14ac:dyDescent="0.2">
      <c r="A71" s="222" t="s">
        <v>34</v>
      </c>
      <c r="B71" s="586" t="s">
        <v>412</v>
      </c>
      <c r="C71" s="443" t="s">
        <v>416</v>
      </c>
      <c r="D71" s="458">
        <f>J75</f>
        <v>0.11863519359999998</v>
      </c>
      <c r="E71" s="255"/>
      <c r="F71" s="255"/>
      <c r="G71" s="266"/>
      <c r="H71" s="258"/>
      <c r="I71" s="497"/>
      <c r="J71" s="449"/>
      <c r="K71" s="443"/>
      <c r="L71" s="453"/>
    </row>
    <row r="72" spans="1:12" ht="15.75" customHeight="1" x14ac:dyDescent="0.2">
      <c r="A72" s="222"/>
      <c r="B72" s="394" t="s">
        <v>582</v>
      </c>
      <c r="C72" s="482" t="s">
        <v>418</v>
      </c>
      <c r="D72" s="254"/>
      <c r="E72" s="255"/>
      <c r="F72" s="255">
        <f>F6+((F20/3)*2*2)</f>
        <v>1.5866666666666667</v>
      </c>
      <c r="G72" s="474"/>
      <c r="H72" s="258"/>
      <c r="I72" s="258"/>
      <c r="J72" s="222"/>
      <c r="K72" s="222"/>
      <c r="L72" s="453" t="s">
        <v>587</v>
      </c>
    </row>
    <row r="73" spans="1:12" ht="15.75" customHeight="1" x14ac:dyDescent="0.2">
      <c r="A73" s="222"/>
      <c r="B73" s="394" t="s">
        <v>585</v>
      </c>
      <c r="C73" s="222" t="s">
        <v>7</v>
      </c>
      <c r="D73" s="454">
        <f>3.1416*F72*F72/4</f>
        <v>1.9772532266666665</v>
      </c>
      <c r="E73" s="255"/>
      <c r="F73" s="255"/>
      <c r="G73" s="474"/>
      <c r="H73" s="258"/>
      <c r="I73" s="258"/>
      <c r="J73" s="222"/>
      <c r="K73" s="222"/>
      <c r="L73" s="453" t="s">
        <v>672</v>
      </c>
    </row>
    <row r="74" spans="1:12" ht="15.75" customHeight="1" x14ac:dyDescent="0.2">
      <c r="A74" s="222"/>
      <c r="B74" s="394" t="s">
        <v>583</v>
      </c>
      <c r="C74" s="222" t="s">
        <v>33</v>
      </c>
      <c r="D74" s="587"/>
      <c r="E74" s="255"/>
      <c r="F74" s="255"/>
      <c r="G74" s="668">
        <v>0.06</v>
      </c>
      <c r="H74" s="258"/>
      <c r="I74" s="258"/>
      <c r="J74" s="222"/>
      <c r="K74" s="222"/>
      <c r="L74" s="453"/>
    </row>
    <row r="75" spans="1:12" ht="17.25" customHeight="1" x14ac:dyDescent="0.2">
      <c r="A75" s="222"/>
      <c r="B75" s="646" t="s">
        <v>673</v>
      </c>
      <c r="C75" s="222" t="s">
        <v>416</v>
      </c>
      <c r="D75" s="587"/>
      <c r="E75" s="255"/>
      <c r="F75" s="255"/>
      <c r="G75" s="474"/>
      <c r="H75" s="258"/>
      <c r="I75" s="258"/>
      <c r="J75" s="458">
        <f>D73*G74</f>
        <v>0.11863519359999998</v>
      </c>
      <c r="K75" s="443" t="s">
        <v>416</v>
      </c>
      <c r="L75" s="453"/>
    </row>
    <row r="76" spans="1:12" ht="15.75" customHeight="1" x14ac:dyDescent="0.2">
      <c r="A76" s="340"/>
      <c r="B76" s="440"/>
      <c r="C76" s="440"/>
      <c r="D76" s="440"/>
      <c r="E76" s="440"/>
      <c r="F76" s="616"/>
      <c r="G76" s="222"/>
      <c r="H76" s="258"/>
      <c r="I76" s="258"/>
      <c r="J76" s="222"/>
      <c r="K76" s="258"/>
      <c r="L76" s="453"/>
    </row>
    <row r="77" spans="1:12" ht="15.75" customHeight="1" x14ac:dyDescent="0.2">
      <c r="A77" s="255" t="s">
        <v>40</v>
      </c>
      <c r="B77" s="340" t="s">
        <v>732</v>
      </c>
      <c r="C77" s="443" t="s">
        <v>416</v>
      </c>
      <c r="D77" s="616">
        <f>J80</f>
        <v>0.58056768000000003</v>
      </c>
      <c r="E77" s="440"/>
      <c r="F77" s="616"/>
      <c r="G77" s="222"/>
      <c r="H77" s="258"/>
      <c r="I77" s="258"/>
      <c r="J77" s="222"/>
      <c r="K77" s="258"/>
      <c r="L77" s="453"/>
    </row>
    <row r="78" spans="1:12" ht="15.75" customHeight="1" x14ac:dyDescent="0.2">
      <c r="A78" s="340"/>
      <c r="B78" s="273" t="s">
        <v>742</v>
      </c>
      <c r="C78" s="222" t="s">
        <v>35</v>
      </c>
      <c r="D78" s="255">
        <v>0.12</v>
      </c>
      <c r="E78" s="440"/>
      <c r="F78" s="616"/>
      <c r="G78" s="222"/>
      <c r="H78" s="258"/>
      <c r="I78" s="258"/>
      <c r="J78" s="222"/>
      <c r="K78" s="258"/>
      <c r="L78" s="453"/>
    </row>
    <row r="79" spans="1:12" ht="15.75" customHeight="1" x14ac:dyDescent="0.2">
      <c r="A79" s="340"/>
      <c r="B79" s="273" t="s">
        <v>743</v>
      </c>
      <c r="C79" s="222" t="s">
        <v>33</v>
      </c>
      <c r="D79" s="255">
        <f>D58</f>
        <v>4.8380640000000001</v>
      </c>
      <c r="E79" s="440"/>
      <c r="F79" s="616"/>
      <c r="G79" s="222"/>
      <c r="H79" s="258"/>
      <c r="I79" s="258"/>
      <c r="J79" s="222"/>
      <c r="K79" s="258"/>
      <c r="L79" s="453"/>
    </row>
    <row r="80" spans="1:12" x14ac:dyDescent="0.2">
      <c r="A80" s="684"/>
      <c r="B80" s="697" t="s">
        <v>673</v>
      </c>
      <c r="C80" s="453"/>
      <c r="D80" s="684"/>
      <c r="E80" s="684"/>
      <c r="F80" s="453"/>
      <c r="G80" s="453"/>
      <c r="H80" s="453"/>
      <c r="I80" s="453"/>
      <c r="J80" s="692">
        <f>D79*D78</f>
        <v>0.58056768000000003</v>
      </c>
      <c r="K80" s="443" t="s">
        <v>416</v>
      </c>
      <c r="L80" s="453"/>
    </row>
    <row r="81" spans="1:14" x14ac:dyDescent="0.2">
      <c r="A81" s="248"/>
      <c r="B81" s="248"/>
      <c r="C81" s="248"/>
      <c r="D81" s="248"/>
      <c r="E81" s="248"/>
      <c r="F81" s="248"/>
      <c r="G81" s="248"/>
      <c r="H81" s="248"/>
      <c r="I81" s="248"/>
      <c r="J81" s="248"/>
      <c r="K81" s="248"/>
      <c r="L81" s="248"/>
    </row>
    <row r="82" spans="1:14" x14ac:dyDescent="0.2">
      <c r="A82" s="248"/>
      <c r="B82" s="248"/>
      <c r="C82" s="248"/>
      <c r="D82" s="248"/>
      <c r="E82" s="248"/>
      <c r="F82" s="248"/>
      <c r="G82" s="248"/>
      <c r="H82" s="248"/>
      <c r="I82" s="248"/>
      <c r="J82" s="248"/>
      <c r="K82" s="248"/>
      <c r="L82" s="248"/>
    </row>
    <row r="83" spans="1:14" s="212" customFormat="1" ht="52.5" customHeight="1" x14ac:dyDescent="0.2">
      <c r="A83" s="953" t="s">
        <v>514</v>
      </c>
      <c r="B83" s="953"/>
      <c r="C83" s="953"/>
      <c r="D83" s="953"/>
      <c r="E83" s="953"/>
      <c r="F83" s="953"/>
      <c r="G83" s="953"/>
      <c r="H83" s="953"/>
      <c r="I83" s="953"/>
      <c r="J83" s="953"/>
      <c r="K83" s="953"/>
      <c r="L83" s="953"/>
      <c r="N83" s="457"/>
    </row>
  </sheetData>
  <sheetProtection algorithmName="SHA-512" hashValue="7GGa4jNJvWieulB1wznD/v2owJDRvrG6eU2Ti+ta0cFD76CF9SSG7q2mLidW/Ktgv/zhu2cRZjimumC7/spZfQ==" saltValue="HAe7J+DBqGrP6dSIXmh45A==" spinCount="100000" sheet="1" objects="1" selectLockedCells="1" selectUnlockedCells="1"/>
  <mergeCells count="4">
    <mergeCell ref="L6:L8"/>
    <mergeCell ref="A83:L83"/>
    <mergeCell ref="M6:S7"/>
    <mergeCell ref="A1:L1"/>
  </mergeCells>
  <printOptions horizontalCentered="1"/>
  <pageMargins left="0.51181102362204722" right="0.51181102362204722" top="0.78740157480314965" bottom="0.78740157480314965" header="0.31496062992125984" footer="0.31496062992125984"/>
  <pageSetup paperSize="9" scale="6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C1:L94"/>
  <sheetViews>
    <sheetView workbookViewId="0">
      <selection activeCell="M21" sqref="M21"/>
    </sheetView>
  </sheetViews>
  <sheetFormatPr defaultRowHeight="12.75" x14ac:dyDescent="0.2"/>
  <cols>
    <col min="1" max="2" width="9.140625" style="158"/>
    <col min="3" max="3" width="17.140625" style="158" customWidth="1"/>
    <col min="4" max="4" width="11.5703125" style="158" customWidth="1"/>
    <col min="5" max="5" width="12.7109375" style="158" bestFit="1" customWidth="1"/>
    <col min="6" max="6" width="11.42578125" style="158" customWidth="1"/>
    <col min="7" max="7" width="12.28515625" style="158" customWidth="1"/>
    <col min="8" max="8" width="10.5703125" style="158" bestFit="1" customWidth="1"/>
    <col min="9" max="9" width="14.140625" style="158" customWidth="1"/>
    <col min="10" max="10" width="33.42578125" style="158" customWidth="1"/>
    <col min="11" max="16384" width="9.140625" style="158"/>
  </cols>
  <sheetData>
    <row r="1" spans="3:11" ht="13.5" thickBot="1" x14ac:dyDescent="0.25"/>
    <row r="2" spans="3:11" x14ac:dyDescent="0.2">
      <c r="C2" s="1024" t="s">
        <v>211</v>
      </c>
      <c r="D2" s="1025"/>
      <c r="E2" s="1025"/>
      <c r="F2" s="1025"/>
      <c r="G2" s="1025"/>
      <c r="H2" s="1025"/>
      <c r="I2" s="1026"/>
      <c r="J2"/>
    </row>
    <row r="3" spans="3:11" x14ac:dyDescent="0.2">
      <c r="C3" s="498"/>
      <c r="D3" s="499"/>
      <c r="E3" s="499"/>
      <c r="F3" s="499"/>
      <c r="G3" s="499"/>
      <c r="H3" s="499"/>
      <c r="I3" s="500"/>
      <c r="J3"/>
    </row>
    <row r="4" spans="3:11" ht="23.25" customHeight="1" x14ac:dyDescent="0.2">
      <c r="C4" s="1027" t="s">
        <v>244</v>
      </c>
      <c r="D4" s="1028"/>
      <c r="E4" s="1028"/>
      <c r="F4" s="1028"/>
      <c r="G4" s="1028"/>
      <c r="H4" s="1028"/>
      <c r="I4" s="1029"/>
      <c r="J4" s="235"/>
    </row>
    <row r="5" spans="3:11" ht="29.25" customHeight="1" x14ac:dyDescent="0.2">
      <c r="C5" s="1030" t="s">
        <v>266</v>
      </c>
      <c r="D5" s="1031"/>
      <c r="E5" s="1031"/>
      <c r="F5" s="1031"/>
      <c r="G5" s="1031"/>
      <c r="H5" s="1031"/>
      <c r="I5" s="1032"/>
      <c r="J5" s="501"/>
    </row>
    <row r="6" spans="3:11" x14ac:dyDescent="0.2">
      <c r="C6" s="1033" t="s">
        <v>267</v>
      </c>
      <c r="D6" s="1034"/>
      <c r="E6" s="1034"/>
      <c r="F6" s="1034"/>
      <c r="G6" s="1034"/>
      <c r="H6" s="1034"/>
      <c r="I6" s="1035"/>
      <c r="J6" s="6"/>
    </row>
    <row r="7" spans="3:11" ht="28.5" customHeight="1" thickBot="1" x14ac:dyDescent="0.25">
      <c r="C7" s="1036" t="s">
        <v>515</v>
      </c>
      <c r="D7" s="1037"/>
      <c r="E7" s="1037"/>
      <c r="F7" s="1037"/>
      <c r="G7" s="1037"/>
      <c r="H7" s="1037"/>
      <c r="I7" s="1038"/>
      <c r="J7" s="502"/>
    </row>
    <row r="8" spans="3:11" ht="13.5" thickBot="1" x14ac:dyDescent="0.25"/>
    <row r="9" spans="3:11" ht="20.25" x14ac:dyDescent="0.3">
      <c r="C9" s="503" t="s">
        <v>241</v>
      </c>
      <c r="D9" s="188"/>
      <c r="E9" s="188"/>
      <c r="F9" s="188"/>
      <c r="G9" s="188"/>
      <c r="H9" s="188"/>
      <c r="I9" s="189"/>
      <c r="J9" s="504"/>
    </row>
    <row r="10" spans="3:11" ht="15" x14ac:dyDescent="0.25">
      <c r="C10" s="1043" t="s">
        <v>516</v>
      </c>
      <c r="D10" s="1044"/>
      <c r="E10" s="1044"/>
      <c r="F10" s="1044"/>
      <c r="G10" s="1044"/>
      <c r="H10" s="1044"/>
      <c r="I10" s="1045"/>
      <c r="J10" s="505"/>
      <c r="K10" s="505"/>
    </row>
    <row r="11" spans="3:11" ht="21" thickBot="1" x14ac:dyDescent="0.35">
      <c r="C11" s="187"/>
      <c r="D11" s="186"/>
      <c r="E11" s="186"/>
      <c r="F11" s="186"/>
      <c r="G11" s="186"/>
      <c r="H11" s="186"/>
      <c r="I11" s="190"/>
      <c r="J11" s="163"/>
    </row>
    <row r="12" spans="3:11" ht="13.5" thickTop="1" x14ac:dyDescent="0.2">
      <c r="C12" s="506" t="s">
        <v>240</v>
      </c>
      <c r="D12" s="185"/>
      <c r="E12" s="184"/>
      <c r="F12" s="163"/>
      <c r="G12" s="117" t="s">
        <v>245</v>
      </c>
      <c r="H12" s="116" t="s">
        <v>203</v>
      </c>
      <c r="I12" s="202" t="s">
        <v>176</v>
      </c>
      <c r="J12" s="163"/>
    </row>
    <row r="13" spans="3:11" ht="18.75" x14ac:dyDescent="0.35">
      <c r="C13" s="183" t="s">
        <v>246</v>
      </c>
      <c r="D13" s="164"/>
      <c r="E13" s="182"/>
      <c r="F13" s="163"/>
      <c r="G13" s="115" t="s">
        <v>138</v>
      </c>
      <c r="H13" s="114" t="s">
        <v>197</v>
      </c>
      <c r="I13" s="203" t="s">
        <v>173</v>
      </c>
      <c r="J13" s="163"/>
    </row>
    <row r="14" spans="3:11" ht="16.5" thickBot="1" x14ac:dyDescent="0.3">
      <c r="C14" s="181" t="s">
        <v>167</v>
      </c>
      <c r="D14" s="180"/>
      <c r="E14" s="179"/>
      <c r="F14" s="163"/>
      <c r="G14" s="140">
        <v>400</v>
      </c>
      <c r="H14" s="141">
        <v>65</v>
      </c>
      <c r="I14" s="204">
        <f>G14/H14</f>
        <v>6.1538461538461542</v>
      </c>
      <c r="J14" s="163"/>
    </row>
    <row r="15" spans="3:11" x14ac:dyDescent="0.2">
      <c r="C15" s="178"/>
      <c r="D15" s="164"/>
      <c r="E15" s="164"/>
      <c r="F15" s="163"/>
      <c r="G15" s="1039"/>
      <c r="H15" s="1039"/>
      <c r="I15" s="1040"/>
      <c r="J15" s="163"/>
    </row>
    <row r="16" spans="3:11" ht="15.75" x14ac:dyDescent="0.3">
      <c r="C16" s="507" t="s">
        <v>239</v>
      </c>
      <c r="D16" s="163"/>
      <c r="E16" s="163"/>
      <c r="F16" s="163"/>
      <c r="G16" s="988" t="s">
        <v>517</v>
      </c>
      <c r="H16" s="988"/>
      <c r="I16" s="1046"/>
      <c r="J16" s="163"/>
    </row>
    <row r="17" spans="3:11" ht="15.75" x14ac:dyDescent="0.3">
      <c r="C17" s="507" t="s">
        <v>247</v>
      </c>
      <c r="D17" s="163"/>
      <c r="E17" s="163"/>
      <c r="F17" s="163"/>
      <c r="G17" s="988" t="s">
        <v>518</v>
      </c>
      <c r="H17" s="988"/>
      <c r="I17" s="1046"/>
      <c r="J17" s="163"/>
    </row>
    <row r="18" spans="3:11" x14ac:dyDescent="0.2">
      <c r="C18" s="173"/>
      <c r="D18" s="163"/>
      <c r="E18" s="163"/>
      <c r="F18" s="163"/>
      <c r="G18" s="988" t="s">
        <v>519</v>
      </c>
      <c r="H18" s="988"/>
      <c r="I18" s="1046"/>
      <c r="J18" s="163"/>
    </row>
    <row r="19" spans="3:11" x14ac:dyDescent="0.2">
      <c r="C19" s="173"/>
      <c r="D19" s="163"/>
      <c r="E19" s="163"/>
      <c r="F19" s="163"/>
      <c r="G19" s="163"/>
      <c r="H19" s="163"/>
      <c r="I19" s="169"/>
      <c r="J19" s="163"/>
    </row>
    <row r="20" spans="3:11" ht="12.75" customHeight="1" x14ac:dyDescent="0.2">
      <c r="C20" s="200" t="s">
        <v>249</v>
      </c>
      <c r="D20" s="504">
        <f>ROUND((G14/H14),2)</f>
        <v>6.15</v>
      </c>
      <c r="E20" s="163" t="s">
        <v>35</v>
      </c>
      <c r="F20" s="176"/>
      <c r="G20" s="1015" t="s">
        <v>520</v>
      </c>
      <c r="H20" s="1015"/>
      <c r="I20" s="1016"/>
      <c r="J20" s="163"/>
    </row>
    <row r="21" spans="3:11" x14ac:dyDescent="0.2">
      <c r="C21" s="173"/>
      <c r="D21" s="504"/>
      <c r="E21" s="163"/>
      <c r="F21" s="172"/>
      <c r="G21" s="1015"/>
      <c r="H21" s="1015"/>
      <c r="I21" s="1016"/>
      <c r="J21" s="163"/>
      <c r="K21" s="232"/>
    </row>
    <row r="22" spans="3:11" ht="15.75" x14ac:dyDescent="0.25">
      <c r="C22" s="173"/>
      <c r="D22" s="163"/>
      <c r="E22" s="163"/>
      <c r="F22" s="508"/>
      <c r="G22" s="508"/>
      <c r="H22" s="508"/>
      <c r="I22" s="509"/>
      <c r="J22" s="163"/>
    </row>
    <row r="23" spans="3:11" x14ac:dyDescent="0.2">
      <c r="C23" s="507" t="s">
        <v>261</v>
      </c>
      <c r="D23" s="163"/>
      <c r="E23" s="163"/>
      <c r="I23" s="206"/>
      <c r="J23" s="163"/>
    </row>
    <row r="24" spans="3:11" x14ac:dyDescent="0.2">
      <c r="C24" s="510" t="s">
        <v>238</v>
      </c>
      <c r="D24" s="511"/>
      <c r="E24" s="511"/>
      <c r="F24" s="511"/>
      <c r="G24" s="511"/>
      <c r="H24" s="511"/>
      <c r="I24" s="207"/>
      <c r="J24" s="163"/>
    </row>
    <row r="25" spans="3:11" ht="16.5" thickBot="1" x14ac:dyDescent="0.3">
      <c r="C25" s="512"/>
      <c r="D25" s="513"/>
      <c r="E25" s="513"/>
      <c r="F25" s="513"/>
      <c r="G25" s="513"/>
      <c r="H25" s="513"/>
      <c r="I25" s="514"/>
      <c r="J25" s="163"/>
    </row>
    <row r="26" spans="3:11" ht="16.5" thickBot="1" x14ac:dyDescent="0.3">
      <c r="C26" s="173"/>
      <c r="D26" s="177" t="s">
        <v>237</v>
      </c>
      <c r="E26" s="163"/>
      <c r="F26" s="163"/>
      <c r="G26" s="163"/>
      <c r="H26" s="163"/>
      <c r="I26" s="169"/>
      <c r="J26" s="163"/>
    </row>
    <row r="27" spans="3:11" x14ac:dyDescent="0.2">
      <c r="C27" s="1017"/>
      <c r="D27" s="1018"/>
      <c r="E27" s="1018"/>
      <c r="F27" s="1018"/>
      <c r="G27" s="164"/>
      <c r="H27" s="163"/>
      <c r="I27" s="169"/>
      <c r="J27" s="163"/>
    </row>
    <row r="28" spans="3:11" x14ac:dyDescent="0.2">
      <c r="C28" s="1041" t="s">
        <v>236</v>
      </c>
      <c r="D28" s="1042"/>
      <c r="E28" s="1042"/>
      <c r="F28" s="176"/>
      <c r="G28" s="171"/>
      <c r="H28" s="171"/>
      <c r="I28" s="191"/>
      <c r="J28" s="163"/>
    </row>
    <row r="29" spans="3:11" x14ac:dyDescent="0.2">
      <c r="C29" s="1041" t="s">
        <v>235</v>
      </c>
      <c r="D29" s="1042"/>
      <c r="E29" s="1042"/>
      <c r="F29" s="172"/>
      <c r="G29" s="172"/>
      <c r="H29" s="172"/>
      <c r="I29" s="205"/>
      <c r="J29" s="163"/>
    </row>
    <row r="30" spans="3:11" x14ac:dyDescent="0.2">
      <c r="C30" s="1019" t="s">
        <v>234</v>
      </c>
      <c r="D30" s="1020"/>
      <c r="E30" s="1020"/>
      <c r="F30" s="444"/>
      <c r="G30" s="444"/>
      <c r="H30" s="172"/>
      <c r="I30" s="445"/>
      <c r="J30" s="163"/>
    </row>
    <row r="31" spans="3:11" ht="15.75" x14ac:dyDescent="0.25">
      <c r="C31" s="446"/>
      <c r="D31" s="447"/>
      <c r="E31" s="447"/>
      <c r="F31" s="508"/>
      <c r="G31" s="508"/>
      <c r="H31" s="508"/>
      <c r="I31" s="509"/>
      <c r="J31" s="163"/>
    </row>
    <row r="32" spans="3:11" ht="15.75" x14ac:dyDescent="0.25">
      <c r="C32" s="199" t="s">
        <v>248</v>
      </c>
      <c r="D32" s="515">
        <f>I14*1</f>
        <v>6.1538461538461542</v>
      </c>
      <c r="E32" s="447" t="s">
        <v>262</v>
      </c>
      <c r="F32" s="516"/>
      <c r="G32" s="163"/>
      <c r="H32" s="163"/>
      <c r="I32" s="169"/>
      <c r="J32" s="163"/>
    </row>
    <row r="33" spans="3:12" ht="15.75" x14ac:dyDescent="0.25">
      <c r="C33" s="446"/>
      <c r="D33" s="175"/>
      <c r="E33" s="175"/>
      <c r="F33" s="174"/>
      <c r="G33" s="163"/>
      <c r="H33" s="163"/>
      <c r="I33" s="169"/>
      <c r="J33" s="163"/>
    </row>
    <row r="34" spans="3:12" x14ac:dyDescent="0.2">
      <c r="C34" s="173"/>
      <c r="D34" s="163"/>
      <c r="E34" s="163"/>
      <c r="F34" s="163"/>
      <c r="G34" s="163"/>
      <c r="H34" s="163" t="s">
        <v>94</v>
      </c>
      <c r="I34" s="169"/>
      <c r="J34" s="163"/>
    </row>
    <row r="35" spans="3:12" x14ac:dyDescent="0.2">
      <c r="C35" s="173"/>
      <c r="D35" s="163"/>
      <c r="E35" s="163"/>
      <c r="F35" s="163"/>
      <c r="G35" s="163"/>
      <c r="H35" s="163"/>
      <c r="I35" s="169"/>
      <c r="J35" s="163"/>
    </row>
    <row r="36" spans="3:12" x14ac:dyDescent="0.2">
      <c r="C36" s="507" t="s">
        <v>233</v>
      </c>
      <c r="D36" s="171"/>
      <c r="E36" s="171"/>
      <c r="F36" s="171"/>
      <c r="G36" s="163" t="s">
        <v>250</v>
      </c>
      <c r="H36" s="517">
        <v>1</v>
      </c>
      <c r="I36" s="191" t="s">
        <v>257</v>
      </c>
      <c r="J36" s="163"/>
    </row>
    <row r="37" spans="3:12" ht="15.75" customHeight="1" x14ac:dyDescent="0.2">
      <c r="C37" s="192"/>
      <c r="D37" s="172"/>
      <c r="E37" s="172"/>
      <c r="F37" s="172"/>
      <c r="G37" s="163" t="s">
        <v>251</v>
      </c>
      <c r="H37" s="518">
        <v>0.8</v>
      </c>
      <c r="I37" s="191" t="s">
        <v>257</v>
      </c>
      <c r="J37" s="163"/>
    </row>
    <row r="38" spans="3:12" x14ac:dyDescent="0.2">
      <c r="C38" s="193"/>
      <c r="D38" s="444"/>
      <c r="E38" s="172"/>
      <c r="F38" s="444"/>
      <c r="G38" s="163" t="s">
        <v>252</v>
      </c>
      <c r="H38" s="518">
        <f>I14</f>
        <v>6.1538461538461542</v>
      </c>
      <c r="I38" s="191" t="s">
        <v>257</v>
      </c>
      <c r="J38" s="163"/>
    </row>
    <row r="39" spans="3:12" ht="15.75" x14ac:dyDescent="0.25">
      <c r="C39" s="519"/>
      <c r="D39" s="508"/>
      <c r="E39" s="508"/>
      <c r="F39" s="520"/>
      <c r="G39" s="163"/>
      <c r="H39" s="163"/>
      <c r="I39" s="191"/>
      <c r="J39" s="163"/>
    </row>
    <row r="40" spans="3:12" x14ac:dyDescent="0.2">
      <c r="C40" s="521" t="s">
        <v>253</v>
      </c>
      <c r="D40" s="163"/>
      <c r="E40" s="163"/>
      <c r="F40" s="163"/>
      <c r="G40" s="163"/>
      <c r="H40" s="163"/>
      <c r="I40" s="169"/>
      <c r="J40" s="163"/>
    </row>
    <row r="41" spans="3:12" x14ac:dyDescent="0.2">
      <c r="C41" s="522" t="s">
        <v>254</v>
      </c>
      <c r="D41" s="523"/>
      <c r="E41" s="523"/>
      <c r="F41" s="523"/>
      <c r="G41" s="523"/>
      <c r="H41" s="523"/>
      <c r="I41" s="524"/>
      <c r="J41" s="163"/>
    </row>
    <row r="42" spans="3:12" ht="38.25" customHeight="1" x14ac:dyDescent="0.2">
      <c r="C42" s="525" t="s">
        <v>255</v>
      </c>
      <c r="D42" s="1021" t="s">
        <v>232</v>
      </c>
      <c r="E42" s="1022"/>
      <c r="F42" s="1022"/>
      <c r="G42" s="1022"/>
      <c r="H42" s="1022"/>
      <c r="I42" s="1023"/>
      <c r="J42" s="163"/>
    </row>
    <row r="43" spans="3:12" x14ac:dyDescent="0.2">
      <c r="C43" s="194"/>
      <c r="D43" s="164"/>
      <c r="E43" s="511" t="s">
        <v>229</v>
      </c>
      <c r="F43" s="165"/>
      <c r="G43" s="167"/>
      <c r="H43" s="167"/>
      <c r="I43" s="195"/>
      <c r="J43" s="163"/>
    </row>
    <row r="44" spans="3:12" ht="14.25" x14ac:dyDescent="0.2">
      <c r="C44" s="196"/>
      <c r="D44" s="201" t="s">
        <v>256</v>
      </c>
      <c r="E44" s="526">
        <f>((H36*H37)/2)*H38</f>
        <v>2.4615384615384617</v>
      </c>
      <c r="F44" s="249" t="s">
        <v>62</v>
      </c>
      <c r="G44" s="167"/>
      <c r="H44" s="167"/>
      <c r="I44" s="195"/>
      <c r="J44" s="163"/>
    </row>
    <row r="45" spans="3:12" x14ac:dyDescent="0.2">
      <c r="C45" s="527"/>
      <c r="D45" s="163"/>
      <c r="E45" s="166"/>
      <c r="F45" s="163"/>
      <c r="G45" s="164"/>
      <c r="H45" s="164"/>
      <c r="I45" s="182"/>
      <c r="J45" s="163"/>
    </row>
    <row r="46" spans="3:12" x14ac:dyDescent="0.2">
      <c r="C46" s="173"/>
      <c r="D46" s="163"/>
      <c r="E46" s="163"/>
      <c r="F46" s="163"/>
      <c r="G46" s="164"/>
      <c r="H46" s="164"/>
      <c r="I46" s="182"/>
      <c r="J46" s="163"/>
      <c r="L46" s="232"/>
    </row>
    <row r="47" spans="3:12" x14ac:dyDescent="0.2">
      <c r="C47" s="507" t="s">
        <v>231</v>
      </c>
      <c r="D47" s="163"/>
      <c r="E47" s="163"/>
      <c r="F47" s="528"/>
      <c r="G47" s="163" t="s">
        <v>250</v>
      </c>
      <c r="H47" s="517">
        <v>1</v>
      </c>
      <c r="I47" s="191" t="s">
        <v>257</v>
      </c>
      <c r="J47" s="163"/>
    </row>
    <row r="48" spans="3:12" x14ac:dyDescent="0.2">
      <c r="C48" s="173"/>
      <c r="D48" s="163"/>
      <c r="E48" s="163"/>
      <c r="F48" s="528"/>
      <c r="G48" s="163" t="s">
        <v>251</v>
      </c>
      <c r="H48" s="518">
        <v>0.8</v>
      </c>
      <c r="I48" s="191" t="s">
        <v>257</v>
      </c>
      <c r="J48" s="163"/>
    </row>
    <row r="49" spans="3:10" x14ac:dyDescent="0.2">
      <c r="C49" s="521" t="s">
        <v>253</v>
      </c>
      <c r="D49" s="163"/>
      <c r="E49" s="163"/>
      <c r="F49" s="528"/>
      <c r="G49" s="163" t="s">
        <v>252</v>
      </c>
      <c r="H49" s="518">
        <f>I14</f>
        <v>6.1538461538461542</v>
      </c>
      <c r="I49" s="191" t="s">
        <v>257</v>
      </c>
      <c r="J49" s="163"/>
    </row>
    <row r="50" spans="3:10" x14ac:dyDescent="0.2">
      <c r="C50" s="522" t="s">
        <v>254</v>
      </c>
      <c r="D50" s="163"/>
      <c r="E50" s="163"/>
      <c r="F50" s="528"/>
      <c r="G50" s="164"/>
      <c r="H50" s="164"/>
      <c r="I50" s="182"/>
      <c r="J50" s="163"/>
    </row>
    <row r="51" spans="3:10" ht="14.25" x14ac:dyDescent="0.2">
      <c r="C51" s="525" t="s">
        <v>255</v>
      </c>
      <c r="D51" s="1021" t="s">
        <v>230</v>
      </c>
      <c r="E51" s="1022"/>
      <c r="F51" s="1022"/>
      <c r="G51" s="1022"/>
      <c r="H51" s="1022"/>
      <c r="I51" s="1023"/>
      <c r="J51" s="163"/>
    </row>
    <row r="52" spans="3:10" x14ac:dyDescent="0.2">
      <c r="C52" s="527"/>
      <c r="D52" s="163"/>
      <c r="E52" s="163"/>
      <c r="F52" s="504"/>
      <c r="G52" s="164"/>
      <c r="H52" s="164"/>
      <c r="I52" s="182"/>
      <c r="J52" s="163"/>
    </row>
    <row r="53" spans="3:10" x14ac:dyDescent="0.2">
      <c r="C53" s="173"/>
      <c r="D53" s="164"/>
      <c r="E53" s="511" t="s">
        <v>229</v>
      </c>
      <c r="F53" s="165"/>
      <c r="G53" s="164"/>
      <c r="H53" s="164"/>
      <c r="I53" s="182"/>
      <c r="J53" s="163"/>
    </row>
    <row r="54" spans="3:10" ht="14.25" x14ac:dyDescent="0.2">
      <c r="C54" s="173"/>
      <c r="D54" s="201" t="s">
        <v>256</v>
      </c>
      <c r="E54" s="526">
        <f>((H47*H48)/2)*H49</f>
        <v>2.4615384615384617</v>
      </c>
      <c r="F54" s="249" t="s">
        <v>62</v>
      </c>
      <c r="G54" s="164"/>
      <c r="H54" s="164"/>
      <c r="I54" s="182"/>
      <c r="J54" s="163"/>
    </row>
    <row r="55" spans="3:10" x14ac:dyDescent="0.2">
      <c r="C55" s="173"/>
      <c r="D55" s="163"/>
      <c r="E55" s="170"/>
      <c r="F55" s="528"/>
      <c r="G55" s="164"/>
      <c r="H55" s="164"/>
      <c r="I55" s="182"/>
      <c r="J55" s="163"/>
    </row>
    <row r="56" spans="3:10" x14ac:dyDescent="0.2">
      <c r="C56" s="173"/>
      <c r="D56" s="163"/>
      <c r="E56" s="163"/>
      <c r="F56" s="504"/>
      <c r="G56" s="164"/>
      <c r="H56" s="164"/>
      <c r="I56" s="182"/>
      <c r="J56" s="163"/>
    </row>
    <row r="57" spans="3:10" x14ac:dyDescent="0.2">
      <c r="C57" s="507" t="s">
        <v>228</v>
      </c>
      <c r="D57" s="163"/>
      <c r="E57" s="163"/>
      <c r="F57" s="528"/>
      <c r="G57" s="164"/>
      <c r="H57" s="164"/>
      <c r="I57" s="182"/>
      <c r="J57" s="163"/>
    </row>
    <row r="58" spans="3:10" x14ac:dyDescent="0.2">
      <c r="C58" s="173"/>
      <c r="D58" s="163"/>
      <c r="E58" s="163"/>
      <c r="F58" s="528"/>
      <c r="G58" s="164"/>
      <c r="H58" s="164"/>
      <c r="I58" s="182"/>
      <c r="J58" s="163"/>
    </row>
    <row r="59" spans="3:10" x14ac:dyDescent="0.2">
      <c r="C59" s="173"/>
      <c r="D59" s="164"/>
      <c r="E59" s="511" t="s">
        <v>258</v>
      </c>
      <c r="F59" s="165"/>
      <c r="G59" s="164"/>
      <c r="H59" s="164"/>
      <c r="I59" s="182"/>
      <c r="J59" s="163"/>
    </row>
    <row r="60" spans="3:10" x14ac:dyDescent="0.2">
      <c r="C60" s="173"/>
      <c r="D60" s="201" t="s">
        <v>259</v>
      </c>
      <c r="E60" s="526">
        <f>H47*H49</f>
        <v>6.1538461538461542</v>
      </c>
      <c r="F60" s="249" t="s">
        <v>7</v>
      </c>
      <c r="G60" s="164"/>
      <c r="H60" s="164"/>
      <c r="I60" s="182"/>
      <c r="J60" s="163"/>
    </row>
    <row r="61" spans="3:10" x14ac:dyDescent="0.2">
      <c r="C61" s="173"/>
      <c r="E61" s="166"/>
      <c r="F61" s="528"/>
      <c r="G61" s="164"/>
      <c r="H61" s="164"/>
      <c r="I61" s="182"/>
      <c r="J61" s="163"/>
    </row>
    <row r="62" spans="3:10" x14ac:dyDescent="0.2">
      <c r="C62" s="173"/>
      <c r="D62" s="163"/>
      <c r="E62" s="163"/>
      <c r="F62" s="528"/>
      <c r="G62" s="164"/>
      <c r="H62" s="164"/>
      <c r="I62" s="182"/>
      <c r="J62" s="163"/>
    </row>
    <row r="63" spans="3:10" x14ac:dyDescent="0.2">
      <c r="C63" s="173"/>
      <c r="E63" s="163"/>
      <c r="F63" s="528"/>
      <c r="G63" s="164"/>
      <c r="H63" s="164"/>
      <c r="I63" s="182"/>
      <c r="J63" s="163"/>
    </row>
    <row r="64" spans="3:10" x14ac:dyDescent="0.2">
      <c r="C64" s="1009" t="s">
        <v>260</v>
      </c>
      <c r="D64" s="1010"/>
      <c r="E64" s="1010"/>
      <c r="F64" s="1010"/>
      <c r="G64" s="1010"/>
      <c r="H64" s="1010"/>
      <c r="I64" s="1011"/>
      <c r="J64" s="163"/>
    </row>
    <row r="65" spans="3:10" x14ac:dyDescent="0.2">
      <c r="C65" s="1009"/>
      <c r="D65" s="1010"/>
      <c r="E65" s="1010"/>
      <c r="F65" s="1010"/>
      <c r="G65" s="1010"/>
      <c r="H65" s="1010"/>
      <c r="I65" s="1011"/>
      <c r="J65" s="163"/>
    </row>
    <row r="66" spans="3:10" x14ac:dyDescent="0.2">
      <c r="C66" s="1009"/>
      <c r="D66" s="1010"/>
      <c r="E66" s="1010"/>
      <c r="F66" s="1010"/>
      <c r="G66" s="1010"/>
      <c r="H66" s="1010"/>
      <c r="I66" s="1011"/>
      <c r="J66" s="163"/>
    </row>
    <row r="67" spans="3:10" ht="32.25" customHeight="1" x14ac:dyDescent="0.2">
      <c r="C67" s="1012" t="s">
        <v>227</v>
      </c>
      <c r="D67" s="1013"/>
      <c r="E67" s="1013"/>
      <c r="F67" s="1013"/>
      <c r="G67" s="1013"/>
      <c r="H67" s="1013"/>
      <c r="I67" s="1014"/>
      <c r="J67" s="163"/>
    </row>
    <row r="68" spans="3:10" x14ac:dyDescent="0.2">
      <c r="C68" s="173"/>
      <c r="D68" s="163"/>
      <c r="E68" s="163"/>
      <c r="F68" s="163"/>
      <c r="G68" s="163"/>
      <c r="H68" s="163"/>
      <c r="I68" s="169"/>
      <c r="J68" s="163"/>
    </row>
    <row r="69" spans="3:10" ht="13.5" thickBot="1" x14ac:dyDescent="0.25">
      <c r="C69" s="197"/>
      <c r="D69" s="168"/>
      <c r="E69" s="168"/>
      <c r="F69" s="168"/>
      <c r="G69" s="168"/>
      <c r="H69" s="168"/>
      <c r="I69" s="198"/>
      <c r="J69" s="163"/>
    </row>
    <row r="70" spans="3:10" ht="12.75" customHeight="1" x14ac:dyDescent="0.2">
      <c r="C70" s="529"/>
      <c r="D70" s="529"/>
      <c r="E70" s="529"/>
      <c r="F70" s="529"/>
      <c r="G70" s="163"/>
      <c r="H70" s="529"/>
      <c r="I70" s="530"/>
      <c r="J70" s="163"/>
    </row>
    <row r="71" spans="3:10" x14ac:dyDescent="0.2">
      <c r="C71" s="529"/>
      <c r="D71" s="529"/>
      <c r="E71" s="529"/>
      <c r="F71" s="529"/>
      <c r="G71" s="163"/>
      <c r="H71" s="529"/>
      <c r="I71" s="530"/>
      <c r="J71" s="163"/>
    </row>
    <row r="72" spans="3:10" x14ac:dyDescent="0.2">
      <c r="C72" s="167"/>
      <c r="D72" s="167"/>
      <c r="E72" s="167"/>
      <c r="F72" s="167"/>
      <c r="G72" s="163"/>
      <c r="H72" s="167"/>
      <c r="I72" s="167"/>
      <c r="J72" s="163"/>
    </row>
    <row r="73" spans="3:10" x14ac:dyDescent="0.2">
      <c r="C73" s="166"/>
      <c r="D73" s="166"/>
      <c r="E73" s="165"/>
      <c r="F73" s="165"/>
      <c r="G73" s="163"/>
      <c r="H73" s="167"/>
      <c r="I73" s="167"/>
      <c r="J73" s="163"/>
    </row>
    <row r="74" spans="3:10" x14ac:dyDescent="0.2">
      <c r="C74" s="164"/>
      <c r="D74" s="164"/>
      <c r="E74" s="164"/>
      <c r="F74" s="164"/>
      <c r="G74" s="163"/>
      <c r="H74" s="167"/>
      <c r="I74" s="167"/>
      <c r="J74" s="163"/>
    </row>
    <row r="75" spans="3:10" x14ac:dyDescent="0.2">
      <c r="C75" s="164"/>
      <c r="D75" s="164"/>
      <c r="E75" s="164"/>
      <c r="F75" s="164"/>
      <c r="G75" s="163"/>
      <c r="H75" s="444"/>
      <c r="I75" s="444"/>
      <c r="J75" s="163"/>
    </row>
    <row r="76" spans="3:10" x14ac:dyDescent="0.2">
      <c r="C76" s="164"/>
      <c r="D76" s="164"/>
      <c r="E76" s="164"/>
      <c r="F76" s="164"/>
      <c r="G76" s="163"/>
      <c r="H76" s="444"/>
      <c r="I76" s="444"/>
      <c r="J76" s="163"/>
    </row>
    <row r="77" spans="3:10" x14ac:dyDescent="0.2">
      <c r="C77" s="164"/>
      <c r="D77" s="164"/>
      <c r="E77" s="164"/>
      <c r="F77" s="164"/>
      <c r="G77" s="163"/>
      <c r="H77" s="444"/>
      <c r="I77" s="444"/>
      <c r="J77" s="163"/>
    </row>
    <row r="78" spans="3:10" x14ac:dyDescent="0.2">
      <c r="C78" s="164"/>
      <c r="D78" s="164"/>
      <c r="E78" s="164"/>
      <c r="F78" s="164"/>
      <c r="G78" s="163"/>
      <c r="H78" s="444"/>
      <c r="I78" s="444"/>
      <c r="J78" s="163"/>
    </row>
    <row r="79" spans="3:10" x14ac:dyDescent="0.2">
      <c r="C79" s="164"/>
      <c r="D79" s="164"/>
      <c r="E79" s="164"/>
      <c r="F79" s="164"/>
      <c r="G79" s="163"/>
      <c r="H79" s="444"/>
      <c r="I79" s="444"/>
      <c r="J79" s="163"/>
    </row>
    <row r="80" spans="3:10" x14ac:dyDescent="0.2">
      <c r="C80" s="164"/>
      <c r="D80" s="164"/>
      <c r="E80" s="164"/>
      <c r="F80" s="164"/>
      <c r="G80" s="163"/>
      <c r="H80" s="444"/>
      <c r="I80" s="444"/>
      <c r="J80" s="163"/>
    </row>
    <row r="81" spans="3:10" x14ac:dyDescent="0.2">
      <c r="C81" s="164"/>
      <c r="D81" s="164"/>
      <c r="E81" s="164"/>
      <c r="F81" s="164"/>
      <c r="G81" s="163"/>
      <c r="H81" s="444"/>
      <c r="I81" s="444"/>
      <c r="J81" s="163"/>
    </row>
    <row r="82" spans="3:10" x14ac:dyDescent="0.2">
      <c r="C82" s="164"/>
      <c r="D82" s="164"/>
      <c r="E82" s="164"/>
      <c r="F82" s="164"/>
      <c r="G82" s="163"/>
      <c r="H82" s="444"/>
      <c r="I82" s="444"/>
      <c r="J82" s="163"/>
    </row>
    <row r="83" spans="3:10" x14ac:dyDescent="0.2">
      <c r="C83" s="529"/>
      <c r="D83" s="530"/>
      <c r="E83" s="530"/>
      <c r="F83" s="530"/>
      <c r="G83" s="530"/>
      <c r="H83" s="163"/>
      <c r="I83" s="163"/>
      <c r="J83" s="163"/>
    </row>
    <row r="84" spans="3:10" x14ac:dyDescent="0.2">
      <c r="C84" s="529"/>
      <c r="D84" s="530"/>
      <c r="E84" s="530"/>
      <c r="F84" s="530"/>
      <c r="G84" s="530"/>
      <c r="H84" s="163"/>
      <c r="I84" s="163"/>
      <c r="J84" s="163"/>
    </row>
    <row r="85" spans="3:10" x14ac:dyDescent="0.2">
      <c r="C85" s="167"/>
      <c r="D85" s="167"/>
      <c r="E85" s="167"/>
      <c r="F85" s="167"/>
      <c r="G85" s="167"/>
      <c r="H85" s="163"/>
      <c r="I85" s="163"/>
      <c r="J85" s="163"/>
    </row>
    <row r="86" spans="3:10" x14ac:dyDescent="0.2">
      <c r="C86" s="167"/>
      <c r="D86" s="167"/>
      <c r="E86" s="167"/>
      <c r="F86" s="167"/>
      <c r="G86" s="167"/>
      <c r="H86" s="163"/>
      <c r="I86" s="163"/>
      <c r="J86" s="163"/>
    </row>
    <row r="87" spans="3:10" x14ac:dyDescent="0.2">
      <c r="C87" s="166"/>
      <c r="D87" s="166"/>
      <c r="E87" s="165"/>
      <c r="F87" s="165"/>
      <c r="G87" s="165"/>
      <c r="H87" s="163"/>
      <c r="I87" s="163"/>
      <c r="J87" s="163"/>
    </row>
    <row r="88" spans="3:10" x14ac:dyDescent="0.2">
      <c r="C88" s="164"/>
      <c r="D88" s="164"/>
      <c r="E88" s="164"/>
      <c r="F88" s="164"/>
      <c r="G88" s="164"/>
      <c r="H88" s="163"/>
      <c r="I88" s="163"/>
      <c r="J88" s="163"/>
    </row>
    <row r="89" spans="3:10" x14ac:dyDescent="0.2">
      <c r="C89" s="164"/>
      <c r="D89" s="164"/>
      <c r="E89" s="164"/>
      <c r="F89" s="164"/>
      <c r="G89" s="164"/>
      <c r="H89" s="163"/>
      <c r="I89" s="163"/>
      <c r="J89" s="163"/>
    </row>
    <row r="90" spans="3:10" x14ac:dyDescent="0.2">
      <c r="C90" s="164"/>
      <c r="D90" s="164"/>
      <c r="E90" s="164"/>
      <c r="F90" s="164"/>
      <c r="G90" s="164"/>
      <c r="H90" s="163"/>
      <c r="I90" s="163"/>
      <c r="J90" s="163"/>
    </row>
    <row r="91" spans="3:10" x14ac:dyDescent="0.2">
      <c r="C91" s="164"/>
      <c r="D91" s="164"/>
      <c r="E91" s="164"/>
      <c r="F91" s="164"/>
      <c r="G91" s="164"/>
      <c r="H91" s="163"/>
      <c r="I91" s="163"/>
      <c r="J91" s="163"/>
    </row>
    <row r="92" spans="3:10" x14ac:dyDescent="0.2">
      <c r="C92" s="164"/>
      <c r="D92" s="164"/>
      <c r="E92" s="164"/>
      <c r="F92" s="164"/>
      <c r="G92" s="164"/>
      <c r="H92" s="163"/>
      <c r="I92" s="163"/>
      <c r="J92" s="163"/>
    </row>
    <row r="93" spans="3:10" x14ac:dyDescent="0.2">
      <c r="C93" s="163"/>
      <c r="D93" s="163"/>
      <c r="E93" s="163"/>
      <c r="F93" s="163"/>
      <c r="G93" s="163"/>
      <c r="H93" s="163"/>
      <c r="I93" s="163"/>
      <c r="J93" s="163"/>
    </row>
    <row r="94" spans="3:10" x14ac:dyDescent="0.2">
      <c r="C94" s="163"/>
      <c r="D94" s="163"/>
      <c r="E94" s="163"/>
      <c r="F94" s="163"/>
      <c r="G94" s="163"/>
      <c r="H94" s="163"/>
      <c r="I94" s="163"/>
      <c r="J94" s="163"/>
    </row>
  </sheetData>
  <mergeCells count="19">
    <mergeCell ref="G15:I15"/>
    <mergeCell ref="C28:E28"/>
    <mergeCell ref="C29:E29"/>
    <mergeCell ref="C10:I10"/>
    <mergeCell ref="G16:I16"/>
    <mergeCell ref="G17:I17"/>
    <mergeCell ref="G18:I18"/>
    <mergeCell ref="C2:I2"/>
    <mergeCell ref="C4:I4"/>
    <mergeCell ref="C5:I5"/>
    <mergeCell ref="C6:I6"/>
    <mergeCell ref="C7:I7"/>
    <mergeCell ref="C64:I66"/>
    <mergeCell ref="C67:I67"/>
    <mergeCell ref="G20:I21"/>
    <mergeCell ref="C27:F27"/>
    <mergeCell ref="C30:E30"/>
    <mergeCell ref="D42:I42"/>
    <mergeCell ref="D51:I51"/>
  </mergeCells>
  <printOptions horizontalCentered="1"/>
  <pageMargins left="0.51181102362204722" right="0.51181102362204722" top="0.78740157480314965" bottom="0.78740157480314965" header="0.31496062992125984" footer="0.31496062992125984"/>
  <pageSetup scale="7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pageSetUpPr fitToPage="1"/>
  </sheetPr>
  <dimension ref="A1:J26"/>
  <sheetViews>
    <sheetView workbookViewId="0">
      <selection activeCell="M6" sqref="M6"/>
    </sheetView>
  </sheetViews>
  <sheetFormatPr defaultRowHeight="12.75" x14ac:dyDescent="0.2"/>
  <cols>
    <col min="1" max="2" width="6.7109375" style="158" customWidth="1"/>
    <col min="3" max="3" width="59.28515625" style="158" customWidth="1"/>
    <col min="4" max="4" width="8.7109375" style="158" customWidth="1"/>
    <col min="5" max="5" width="10.42578125" style="268" customWidth="1"/>
    <col min="6" max="7" width="8.7109375" style="158" customWidth="1"/>
    <col min="8" max="8" width="12.7109375" style="158" customWidth="1"/>
    <col min="9" max="257" width="9.140625" style="158"/>
    <col min="258" max="258" width="5.28515625" style="158" customWidth="1"/>
    <col min="259" max="259" width="57" style="158" customWidth="1"/>
    <col min="260" max="260" width="5" style="158" customWidth="1"/>
    <col min="261" max="261" width="7" style="158" customWidth="1"/>
    <col min="262" max="262" width="9.140625" style="158"/>
    <col min="263" max="263" width="13.28515625" style="158" customWidth="1"/>
    <col min="264" max="264" width="11.7109375" style="158" customWidth="1"/>
    <col min="265" max="513" width="9.140625" style="158"/>
    <col min="514" max="514" width="5.28515625" style="158" customWidth="1"/>
    <col min="515" max="515" width="57" style="158" customWidth="1"/>
    <col min="516" max="516" width="5" style="158" customWidth="1"/>
    <col min="517" max="517" width="7" style="158" customWidth="1"/>
    <col min="518" max="518" width="9.140625" style="158"/>
    <col min="519" max="519" width="13.28515625" style="158" customWidth="1"/>
    <col min="520" max="520" width="11.7109375" style="158" customWidth="1"/>
    <col min="521" max="769" width="9.140625" style="158"/>
    <col min="770" max="770" width="5.28515625" style="158" customWidth="1"/>
    <col min="771" max="771" width="57" style="158" customWidth="1"/>
    <col min="772" max="772" width="5" style="158" customWidth="1"/>
    <col min="773" max="773" width="7" style="158" customWidth="1"/>
    <col min="774" max="774" width="9.140625" style="158"/>
    <col min="775" max="775" width="13.28515625" style="158" customWidth="1"/>
    <col min="776" max="776" width="11.7109375" style="158" customWidth="1"/>
    <col min="777" max="1025" width="9.140625" style="158"/>
    <col min="1026" max="1026" width="5.28515625" style="158" customWidth="1"/>
    <col min="1027" max="1027" width="57" style="158" customWidth="1"/>
    <col min="1028" max="1028" width="5" style="158" customWidth="1"/>
    <col min="1029" max="1029" width="7" style="158" customWidth="1"/>
    <col min="1030" max="1030" width="9.140625" style="158"/>
    <col min="1031" max="1031" width="13.28515625" style="158" customWidth="1"/>
    <col min="1032" max="1032" width="11.7109375" style="158" customWidth="1"/>
    <col min="1033" max="1281" width="9.140625" style="158"/>
    <col min="1282" max="1282" width="5.28515625" style="158" customWidth="1"/>
    <col min="1283" max="1283" width="57" style="158" customWidth="1"/>
    <col min="1284" max="1284" width="5" style="158" customWidth="1"/>
    <col min="1285" max="1285" width="7" style="158" customWidth="1"/>
    <col min="1286" max="1286" width="9.140625" style="158"/>
    <col min="1287" max="1287" width="13.28515625" style="158" customWidth="1"/>
    <col min="1288" max="1288" width="11.7109375" style="158" customWidth="1"/>
    <col min="1289" max="1537" width="9.140625" style="158"/>
    <col min="1538" max="1538" width="5.28515625" style="158" customWidth="1"/>
    <col min="1539" max="1539" width="57" style="158" customWidth="1"/>
    <col min="1540" max="1540" width="5" style="158" customWidth="1"/>
    <col min="1541" max="1541" width="7" style="158" customWidth="1"/>
    <col min="1542" max="1542" width="9.140625" style="158"/>
    <col min="1543" max="1543" width="13.28515625" style="158" customWidth="1"/>
    <col min="1544" max="1544" width="11.7109375" style="158" customWidth="1"/>
    <col min="1545" max="1793" width="9.140625" style="158"/>
    <col min="1794" max="1794" width="5.28515625" style="158" customWidth="1"/>
    <col min="1795" max="1795" width="57" style="158" customWidth="1"/>
    <col min="1796" max="1796" width="5" style="158" customWidth="1"/>
    <col min="1797" max="1797" width="7" style="158" customWidth="1"/>
    <col min="1798" max="1798" width="9.140625" style="158"/>
    <col min="1799" max="1799" width="13.28515625" style="158" customWidth="1"/>
    <col min="1800" max="1800" width="11.7109375" style="158" customWidth="1"/>
    <col min="1801" max="2049" width="9.140625" style="158"/>
    <col min="2050" max="2050" width="5.28515625" style="158" customWidth="1"/>
    <col min="2051" max="2051" width="57" style="158" customWidth="1"/>
    <col min="2052" max="2052" width="5" style="158" customWidth="1"/>
    <col min="2053" max="2053" width="7" style="158" customWidth="1"/>
    <col min="2054" max="2054" width="9.140625" style="158"/>
    <col min="2055" max="2055" width="13.28515625" style="158" customWidth="1"/>
    <col min="2056" max="2056" width="11.7109375" style="158" customWidth="1"/>
    <col min="2057" max="2305" width="9.140625" style="158"/>
    <col min="2306" max="2306" width="5.28515625" style="158" customWidth="1"/>
    <col min="2307" max="2307" width="57" style="158" customWidth="1"/>
    <col min="2308" max="2308" width="5" style="158" customWidth="1"/>
    <col min="2309" max="2309" width="7" style="158" customWidth="1"/>
    <col min="2310" max="2310" width="9.140625" style="158"/>
    <col min="2311" max="2311" width="13.28515625" style="158" customWidth="1"/>
    <col min="2312" max="2312" width="11.7109375" style="158" customWidth="1"/>
    <col min="2313" max="2561" width="9.140625" style="158"/>
    <col min="2562" max="2562" width="5.28515625" style="158" customWidth="1"/>
    <col min="2563" max="2563" width="57" style="158" customWidth="1"/>
    <col min="2564" max="2564" width="5" style="158" customWidth="1"/>
    <col min="2565" max="2565" width="7" style="158" customWidth="1"/>
    <col min="2566" max="2566" width="9.140625" style="158"/>
    <col min="2567" max="2567" width="13.28515625" style="158" customWidth="1"/>
    <col min="2568" max="2568" width="11.7109375" style="158" customWidth="1"/>
    <col min="2569" max="2817" width="9.140625" style="158"/>
    <col min="2818" max="2818" width="5.28515625" style="158" customWidth="1"/>
    <col min="2819" max="2819" width="57" style="158" customWidth="1"/>
    <col min="2820" max="2820" width="5" style="158" customWidth="1"/>
    <col min="2821" max="2821" width="7" style="158" customWidth="1"/>
    <col min="2822" max="2822" width="9.140625" style="158"/>
    <col min="2823" max="2823" width="13.28515625" style="158" customWidth="1"/>
    <col min="2824" max="2824" width="11.7109375" style="158" customWidth="1"/>
    <col min="2825" max="3073" width="9.140625" style="158"/>
    <col min="3074" max="3074" width="5.28515625" style="158" customWidth="1"/>
    <col min="3075" max="3075" width="57" style="158" customWidth="1"/>
    <col min="3076" max="3076" width="5" style="158" customWidth="1"/>
    <col min="3077" max="3077" width="7" style="158" customWidth="1"/>
    <col min="3078" max="3078" width="9.140625" style="158"/>
    <col min="3079" max="3079" width="13.28515625" style="158" customWidth="1"/>
    <col min="3080" max="3080" width="11.7109375" style="158" customWidth="1"/>
    <col min="3081" max="3329" width="9.140625" style="158"/>
    <col min="3330" max="3330" width="5.28515625" style="158" customWidth="1"/>
    <col min="3331" max="3331" width="57" style="158" customWidth="1"/>
    <col min="3332" max="3332" width="5" style="158" customWidth="1"/>
    <col min="3333" max="3333" width="7" style="158" customWidth="1"/>
    <col min="3334" max="3334" width="9.140625" style="158"/>
    <col min="3335" max="3335" width="13.28515625" style="158" customWidth="1"/>
    <col min="3336" max="3336" width="11.7109375" style="158" customWidth="1"/>
    <col min="3337" max="3585" width="9.140625" style="158"/>
    <col min="3586" max="3586" width="5.28515625" style="158" customWidth="1"/>
    <col min="3587" max="3587" width="57" style="158" customWidth="1"/>
    <col min="3588" max="3588" width="5" style="158" customWidth="1"/>
    <col min="3589" max="3589" width="7" style="158" customWidth="1"/>
    <col min="3590" max="3590" width="9.140625" style="158"/>
    <col min="3591" max="3591" width="13.28515625" style="158" customWidth="1"/>
    <col min="3592" max="3592" width="11.7109375" style="158" customWidth="1"/>
    <col min="3593" max="3841" width="9.140625" style="158"/>
    <col min="3842" max="3842" width="5.28515625" style="158" customWidth="1"/>
    <col min="3843" max="3843" width="57" style="158" customWidth="1"/>
    <col min="3844" max="3844" width="5" style="158" customWidth="1"/>
    <col min="3845" max="3845" width="7" style="158" customWidth="1"/>
    <col min="3846" max="3846" width="9.140625" style="158"/>
    <col min="3847" max="3847" width="13.28515625" style="158" customWidth="1"/>
    <col min="3848" max="3848" width="11.7109375" style="158" customWidth="1"/>
    <col min="3849" max="4097" width="9.140625" style="158"/>
    <col min="4098" max="4098" width="5.28515625" style="158" customWidth="1"/>
    <col min="4099" max="4099" width="57" style="158" customWidth="1"/>
    <col min="4100" max="4100" width="5" style="158" customWidth="1"/>
    <col min="4101" max="4101" width="7" style="158" customWidth="1"/>
    <col min="4102" max="4102" width="9.140625" style="158"/>
    <col min="4103" max="4103" width="13.28515625" style="158" customWidth="1"/>
    <col min="4104" max="4104" width="11.7109375" style="158" customWidth="1"/>
    <col min="4105" max="4353" width="9.140625" style="158"/>
    <col min="4354" max="4354" width="5.28515625" style="158" customWidth="1"/>
    <col min="4355" max="4355" width="57" style="158" customWidth="1"/>
    <col min="4356" max="4356" width="5" style="158" customWidth="1"/>
    <col min="4357" max="4357" width="7" style="158" customWidth="1"/>
    <col min="4358" max="4358" width="9.140625" style="158"/>
    <col min="4359" max="4359" width="13.28515625" style="158" customWidth="1"/>
    <col min="4360" max="4360" width="11.7109375" style="158" customWidth="1"/>
    <col min="4361" max="4609" width="9.140625" style="158"/>
    <col min="4610" max="4610" width="5.28515625" style="158" customWidth="1"/>
    <col min="4611" max="4611" width="57" style="158" customWidth="1"/>
    <col min="4612" max="4612" width="5" style="158" customWidth="1"/>
    <col min="4613" max="4613" width="7" style="158" customWidth="1"/>
    <col min="4614" max="4614" width="9.140625" style="158"/>
    <col min="4615" max="4615" width="13.28515625" style="158" customWidth="1"/>
    <col min="4616" max="4616" width="11.7109375" style="158" customWidth="1"/>
    <col min="4617" max="4865" width="9.140625" style="158"/>
    <col min="4866" max="4866" width="5.28515625" style="158" customWidth="1"/>
    <col min="4867" max="4867" width="57" style="158" customWidth="1"/>
    <col min="4868" max="4868" width="5" style="158" customWidth="1"/>
    <col min="4869" max="4869" width="7" style="158" customWidth="1"/>
    <col min="4870" max="4870" width="9.140625" style="158"/>
    <col min="4871" max="4871" width="13.28515625" style="158" customWidth="1"/>
    <col min="4872" max="4872" width="11.7109375" style="158" customWidth="1"/>
    <col min="4873" max="5121" width="9.140625" style="158"/>
    <col min="5122" max="5122" width="5.28515625" style="158" customWidth="1"/>
    <col min="5123" max="5123" width="57" style="158" customWidth="1"/>
    <col min="5124" max="5124" width="5" style="158" customWidth="1"/>
    <col min="5125" max="5125" width="7" style="158" customWidth="1"/>
    <col min="5126" max="5126" width="9.140625" style="158"/>
    <col min="5127" max="5127" width="13.28515625" style="158" customWidth="1"/>
    <col min="5128" max="5128" width="11.7109375" style="158" customWidth="1"/>
    <col min="5129" max="5377" width="9.140625" style="158"/>
    <col min="5378" max="5378" width="5.28515625" style="158" customWidth="1"/>
    <col min="5379" max="5379" width="57" style="158" customWidth="1"/>
    <col min="5380" max="5380" width="5" style="158" customWidth="1"/>
    <col min="5381" max="5381" width="7" style="158" customWidth="1"/>
    <col min="5382" max="5382" width="9.140625" style="158"/>
    <col min="5383" max="5383" width="13.28515625" style="158" customWidth="1"/>
    <col min="5384" max="5384" width="11.7109375" style="158" customWidth="1"/>
    <col min="5385" max="5633" width="9.140625" style="158"/>
    <col min="5634" max="5634" width="5.28515625" style="158" customWidth="1"/>
    <col min="5635" max="5635" width="57" style="158" customWidth="1"/>
    <col min="5636" max="5636" width="5" style="158" customWidth="1"/>
    <col min="5637" max="5637" width="7" style="158" customWidth="1"/>
    <col min="5638" max="5638" width="9.140625" style="158"/>
    <col min="5639" max="5639" width="13.28515625" style="158" customWidth="1"/>
    <col min="5640" max="5640" width="11.7109375" style="158" customWidth="1"/>
    <col min="5641" max="5889" width="9.140625" style="158"/>
    <col min="5890" max="5890" width="5.28515625" style="158" customWidth="1"/>
    <col min="5891" max="5891" width="57" style="158" customWidth="1"/>
    <col min="5892" max="5892" width="5" style="158" customWidth="1"/>
    <col min="5893" max="5893" width="7" style="158" customWidth="1"/>
    <col min="5894" max="5894" width="9.140625" style="158"/>
    <col min="5895" max="5895" width="13.28515625" style="158" customWidth="1"/>
    <col min="5896" max="5896" width="11.7109375" style="158" customWidth="1"/>
    <col min="5897" max="6145" width="9.140625" style="158"/>
    <col min="6146" max="6146" width="5.28515625" style="158" customWidth="1"/>
    <col min="6147" max="6147" width="57" style="158" customWidth="1"/>
    <col min="6148" max="6148" width="5" style="158" customWidth="1"/>
    <col min="6149" max="6149" width="7" style="158" customWidth="1"/>
    <col min="6150" max="6150" width="9.140625" style="158"/>
    <col min="6151" max="6151" width="13.28515625" style="158" customWidth="1"/>
    <col min="6152" max="6152" width="11.7109375" style="158" customWidth="1"/>
    <col min="6153" max="6401" width="9.140625" style="158"/>
    <col min="6402" max="6402" width="5.28515625" style="158" customWidth="1"/>
    <col min="6403" max="6403" width="57" style="158" customWidth="1"/>
    <col min="6404" max="6404" width="5" style="158" customWidth="1"/>
    <col min="6405" max="6405" width="7" style="158" customWidth="1"/>
    <col min="6406" max="6406" width="9.140625" style="158"/>
    <col min="6407" max="6407" width="13.28515625" style="158" customWidth="1"/>
    <col min="6408" max="6408" width="11.7109375" style="158" customWidth="1"/>
    <col min="6409" max="6657" width="9.140625" style="158"/>
    <col min="6658" max="6658" width="5.28515625" style="158" customWidth="1"/>
    <col min="6659" max="6659" width="57" style="158" customWidth="1"/>
    <col min="6660" max="6660" width="5" style="158" customWidth="1"/>
    <col min="6661" max="6661" width="7" style="158" customWidth="1"/>
    <col min="6662" max="6662" width="9.140625" style="158"/>
    <col min="6663" max="6663" width="13.28515625" style="158" customWidth="1"/>
    <col min="6664" max="6664" width="11.7109375" style="158" customWidth="1"/>
    <col min="6665" max="6913" width="9.140625" style="158"/>
    <col min="6914" max="6914" width="5.28515625" style="158" customWidth="1"/>
    <col min="6915" max="6915" width="57" style="158" customWidth="1"/>
    <col min="6916" max="6916" width="5" style="158" customWidth="1"/>
    <col min="6917" max="6917" width="7" style="158" customWidth="1"/>
    <col min="6918" max="6918" width="9.140625" style="158"/>
    <col min="6919" max="6919" width="13.28515625" style="158" customWidth="1"/>
    <col min="6920" max="6920" width="11.7109375" style="158" customWidth="1"/>
    <col min="6921" max="7169" width="9.140625" style="158"/>
    <col min="7170" max="7170" width="5.28515625" style="158" customWidth="1"/>
    <col min="7171" max="7171" width="57" style="158" customWidth="1"/>
    <col min="7172" max="7172" width="5" style="158" customWidth="1"/>
    <col min="7173" max="7173" width="7" style="158" customWidth="1"/>
    <col min="7174" max="7174" width="9.140625" style="158"/>
    <col min="7175" max="7175" width="13.28515625" style="158" customWidth="1"/>
    <col min="7176" max="7176" width="11.7109375" style="158" customWidth="1"/>
    <col min="7177" max="7425" width="9.140625" style="158"/>
    <col min="7426" max="7426" width="5.28515625" style="158" customWidth="1"/>
    <col min="7427" max="7427" width="57" style="158" customWidth="1"/>
    <col min="7428" max="7428" width="5" style="158" customWidth="1"/>
    <col min="7429" max="7429" width="7" style="158" customWidth="1"/>
    <col min="7430" max="7430" width="9.140625" style="158"/>
    <col min="7431" max="7431" width="13.28515625" style="158" customWidth="1"/>
    <col min="7432" max="7432" width="11.7109375" style="158" customWidth="1"/>
    <col min="7433" max="7681" width="9.140625" style="158"/>
    <col min="7682" max="7682" width="5.28515625" style="158" customWidth="1"/>
    <col min="7683" max="7683" width="57" style="158" customWidth="1"/>
    <col min="7684" max="7684" width="5" style="158" customWidth="1"/>
    <col min="7685" max="7685" width="7" style="158" customWidth="1"/>
    <col min="7686" max="7686" width="9.140625" style="158"/>
    <col min="7687" max="7687" width="13.28515625" style="158" customWidth="1"/>
    <col min="7688" max="7688" width="11.7109375" style="158" customWidth="1"/>
    <col min="7689" max="7937" width="9.140625" style="158"/>
    <col min="7938" max="7938" width="5.28515625" style="158" customWidth="1"/>
    <col min="7939" max="7939" width="57" style="158" customWidth="1"/>
    <col min="7940" max="7940" width="5" style="158" customWidth="1"/>
    <col min="7941" max="7941" width="7" style="158" customWidth="1"/>
    <col min="7942" max="7942" width="9.140625" style="158"/>
    <col min="7943" max="7943" width="13.28515625" style="158" customWidth="1"/>
    <col min="7944" max="7944" width="11.7109375" style="158" customWidth="1"/>
    <col min="7945" max="8193" width="9.140625" style="158"/>
    <col min="8194" max="8194" width="5.28515625" style="158" customWidth="1"/>
    <col min="8195" max="8195" width="57" style="158" customWidth="1"/>
    <col min="8196" max="8196" width="5" style="158" customWidth="1"/>
    <col min="8197" max="8197" width="7" style="158" customWidth="1"/>
    <col min="8198" max="8198" width="9.140625" style="158"/>
    <col min="8199" max="8199" width="13.28515625" style="158" customWidth="1"/>
    <col min="8200" max="8200" width="11.7109375" style="158" customWidth="1"/>
    <col min="8201" max="8449" width="9.140625" style="158"/>
    <col min="8450" max="8450" width="5.28515625" style="158" customWidth="1"/>
    <col min="8451" max="8451" width="57" style="158" customWidth="1"/>
    <col min="8452" max="8452" width="5" style="158" customWidth="1"/>
    <col min="8453" max="8453" width="7" style="158" customWidth="1"/>
    <col min="8454" max="8454" width="9.140625" style="158"/>
    <col min="8455" max="8455" width="13.28515625" style="158" customWidth="1"/>
    <col min="8456" max="8456" width="11.7109375" style="158" customWidth="1"/>
    <col min="8457" max="8705" width="9.140625" style="158"/>
    <col min="8706" max="8706" width="5.28515625" style="158" customWidth="1"/>
    <col min="8707" max="8707" width="57" style="158" customWidth="1"/>
    <col min="8708" max="8708" width="5" style="158" customWidth="1"/>
    <col min="8709" max="8709" width="7" style="158" customWidth="1"/>
    <col min="8710" max="8710" width="9.140625" style="158"/>
    <col min="8711" max="8711" width="13.28515625" style="158" customWidth="1"/>
    <col min="8712" max="8712" width="11.7109375" style="158" customWidth="1"/>
    <col min="8713" max="8961" width="9.140625" style="158"/>
    <col min="8962" max="8962" width="5.28515625" style="158" customWidth="1"/>
    <col min="8963" max="8963" width="57" style="158" customWidth="1"/>
    <col min="8964" max="8964" width="5" style="158" customWidth="1"/>
    <col min="8965" max="8965" width="7" style="158" customWidth="1"/>
    <col min="8966" max="8966" width="9.140625" style="158"/>
    <col min="8967" max="8967" width="13.28515625" style="158" customWidth="1"/>
    <col min="8968" max="8968" width="11.7109375" style="158" customWidth="1"/>
    <col min="8969" max="9217" width="9.140625" style="158"/>
    <col min="9218" max="9218" width="5.28515625" style="158" customWidth="1"/>
    <col min="9219" max="9219" width="57" style="158" customWidth="1"/>
    <col min="9220" max="9220" width="5" style="158" customWidth="1"/>
    <col min="9221" max="9221" width="7" style="158" customWidth="1"/>
    <col min="9222" max="9222" width="9.140625" style="158"/>
    <col min="9223" max="9223" width="13.28515625" style="158" customWidth="1"/>
    <col min="9224" max="9224" width="11.7109375" style="158" customWidth="1"/>
    <col min="9225" max="9473" width="9.140625" style="158"/>
    <col min="9474" max="9474" width="5.28515625" style="158" customWidth="1"/>
    <col min="9475" max="9475" width="57" style="158" customWidth="1"/>
    <col min="9476" max="9476" width="5" style="158" customWidth="1"/>
    <col min="9477" max="9477" width="7" style="158" customWidth="1"/>
    <col min="9478" max="9478" width="9.140625" style="158"/>
    <col min="9479" max="9479" width="13.28515625" style="158" customWidth="1"/>
    <col min="9480" max="9480" width="11.7109375" style="158" customWidth="1"/>
    <col min="9481" max="9729" width="9.140625" style="158"/>
    <col min="9730" max="9730" width="5.28515625" style="158" customWidth="1"/>
    <col min="9731" max="9731" width="57" style="158" customWidth="1"/>
    <col min="9732" max="9732" width="5" style="158" customWidth="1"/>
    <col min="9733" max="9733" width="7" style="158" customWidth="1"/>
    <col min="9734" max="9734" width="9.140625" style="158"/>
    <col min="9735" max="9735" width="13.28515625" style="158" customWidth="1"/>
    <col min="9736" max="9736" width="11.7109375" style="158" customWidth="1"/>
    <col min="9737" max="9985" width="9.140625" style="158"/>
    <col min="9986" max="9986" width="5.28515625" style="158" customWidth="1"/>
    <col min="9987" max="9987" width="57" style="158" customWidth="1"/>
    <col min="9988" max="9988" width="5" style="158" customWidth="1"/>
    <col min="9989" max="9989" width="7" style="158" customWidth="1"/>
    <col min="9990" max="9990" width="9.140625" style="158"/>
    <col min="9991" max="9991" width="13.28515625" style="158" customWidth="1"/>
    <col min="9992" max="9992" width="11.7109375" style="158" customWidth="1"/>
    <col min="9993" max="10241" width="9.140625" style="158"/>
    <col min="10242" max="10242" width="5.28515625" style="158" customWidth="1"/>
    <col min="10243" max="10243" width="57" style="158" customWidth="1"/>
    <col min="10244" max="10244" width="5" style="158" customWidth="1"/>
    <col min="10245" max="10245" width="7" style="158" customWidth="1"/>
    <col min="10246" max="10246" width="9.140625" style="158"/>
    <col min="10247" max="10247" width="13.28515625" style="158" customWidth="1"/>
    <col min="10248" max="10248" width="11.7109375" style="158" customWidth="1"/>
    <col min="10249" max="10497" width="9.140625" style="158"/>
    <col min="10498" max="10498" width="5.28515625" style="158" customWidth="1"/>
    <col min="10499" max="10499" width="57" style="158" customWidth="1"/>
    <col min="10500" max="10500" width="5" style="158" customWidth="1"/>
    <col min="10501" max="10501" width="7" style="158" customWidth="1"/>
    <col min="10502" max="10502" width="9.140625" style="158"/>
    <col min="10503" max="10503" width="13.28515625" style="158" customWidth="1"/>
    <col min="10504" max="10504" width="11.7109375" style="158" customWidth="1"/>
    <col min="10505" max="10753" width="9.140625" style="158"/>
    <col min="10754" max="10754" width="5.28515625" style="158" customWidth="1"/>
    <col min="10755" max="10755" width="57" style="158" customWidth="1"/>
    <col min="10756" max="10756" width="5" style="158" customWidth="1"/>
    <col min="10757" max="10757" width="7" style="158" customWidth="1"/>
    <col min="10758" max="10758" width="9.140625" style="158"/>
    <col min="10759" max="10759" width="13.28515625" style="158" customWidth="1"/>
    <col min="10760" max="10760" width="11.7109375" style="158" customWidth="1"/>
    <col min="10761" max="11009" width="9.140625" style="158"/>
    <col min="11010" max="11010" width="5.28515625" style="158" customWidth="1"/>
    <col min="11011" max="11011" width="57" style="158" customWidth="1"/>
    <col min="11012" max="11012" width="5" style="158" customWidth="1"/>
    <col min="11013" max="11013" width="7" style="158" customWidth="1"/>
    <col min="11014" max="11014" width="9.140625" style="158"/>
    <col min="11015" max="11015" width="13.28515625" style="158" customWidth="1"/>
    <col min="11016" max="11016" width="11.7109375" style="158" customWidth="1"/>
    <col min="11017" max="11265" width="9.140625" style="158"/>
    <col min="11266" max="11266" width="5.28515625" style="158" customWidth="1"/>
    <col min="11267" max="11267" width="57" style="158" customWidth="1"/>
    <col min="11268" max="11268" width="5" style="158" customWidth="1"/>
    <col min="11269" max="11269" width="7" style="158" customWidth="1"/>
    <col min="11270" max="11270" width="9.140625" style="158"/>
    <col min="11271" max="11271" width="13.28515625" style="158" customWidth="1"/>
    <col min="11272" max="11272" width="11.7109375" style="158" customWidth="1"/>
    <col min="11273" max="11521" width="9.140625" style="158"/>
    <col min="11522" max="11522" width="5.28515625" style="158" customWidth="1"/>
    <col min="11523" max="11523" width="57" style="158" customWidth="1"/>
    <col min="11524" max="11524" width="5" style="158" customWidth="1"/>
    <col min="11525" max="11525" width="7" style="158" customWidth="1"/>
    <col min="11526" max="11526" width="9.140625" style="158"/>
    <col min="11527" max="11527" width="13.28515625" style="158" customWidth="1"/>
    <col min="11528" max="11528" width="11.7109375" style="158" customWidth="1"/>
    <col min="11529" max="11777" width="9.140625" style="158"/>
    <col min="11778" max="11778" width="5.28515625" style="158" customWidth="1"/>
    <col min="11779" max="11779" width="57" style="158" customWidth="1"/>
    <col min="11780" max="11780" width="5" style="158" customWidth="1"/>
    <col min="11781" max="11781" width="7" style="158" customWidth="1"/>
    <col min="11782" max="11782" width="9.140625" style="158"/>
    <col min="11783" max="11783" width="13.28515625" style="158" customWidth="1"/>
    <col min="11784" max="11784" width="11.7109375" style="158" customWidth="1"/>
    <col min="11785" max="12033" width="9.140625" style="158"/>
    <col min="12034" max="12034" width="5.28515625" style="158" customWidth="1"/>
    <col min="12035" max="12035" width="57" style="158" customWidth="1"/>
    <col min="12036" max="12036" width="5" style="158" customWidth="1"/>
    <col min="12037" max="12037" width="7" style="158" customWidth="1"/>
    <col min="12038" max="12038" width="9.140625" style="158"/>
    <col min="12039" max="12039" width="13.28515625" style="158" customWidth="1"/>
    <col min="12040" max="12040" width="11.7109375" style="158" customWidth="1"/>
    <col min="12041" max="12289" width="9.140625" style="158"/>
    <col min="12290" max="12290" width="5.28515625" style="158" customWidth="1"/>
    <col min="12291" max="12291" width="57" style="158" customWidth="1"/>
    <col min="12292" max="12292" width="5" style="158" customWidth="1"/>
    <col min="12293" max="12293" width="7" style="158" customWidth="1"/>
    <col min="12294" max="12294" width="9.140625" style="158"/>
    <col min="12295" max="12295" width="13.28515625" style="158" customWidth="1"/>
    <col min="12296" max="12296" width="11.7109375" style="158" customWidth="1"/>
    <col min="12297" max="12545" width="9.140625" style="158"/>
    <col min="12546" max="12546" width="5.28515625" style="158" customWidth="1"/>
    <col min="12547" max="12547" width="57" style="158" customWidth="1"/>
    <col min="12548" max="12548" width="5" style="158" customWidth="1"/>
    <col min="12549" max="12549" width="7" style="158" customWidth="1"/>
    <col min="12550" max="12550" width="9.140625" style="158"/>
    <col min="12551" max="12551" width="13.28515625" style="158" customWidth="1"/>
    <col min="12552" max="12552" width="11.7109375" style="158" customWidth="1"/>
    <col min="12553" max="12801" width="9.140625" style="158"/>
    <col min="12802" max="12802" width="5.28515625" style="158" customWidth="1"/>
    <col min="12803" max="12803" width="57" style="158" customWidth="1"/>
    <col min="12804" max="12804" width="5" style="158" customWidth="1"/>
    <col min="12805" max="12805" width="7" style="158" customWidth="1"/>
    <col min="12806" max="12806" width="9.140625" style="158"/>
    <col min="12807" max="12807" width="13.28515625" style="158" customWidth="1"/>
    <col min="12808" max="12808" width="11.7109375" style="158" customWidth="1"/>
    <col min="12809" max="13057" width="9.140625" style="158"/>
    <col min="13058" max="13058" width="5.28515625" style="158" customWidth="1"/>
    <col min="13059" max="13059" width="57" style="158" customWidth="1"/>
    <col min="13060" max="13060" width="5" style="158" customWidth="1"/>
    <col min="13061" max="13061" width="7" style="158" customWidth="1"/>
    <col min="13062" max="13062" width="9.140625" style="158"/>
    <col min="13063" max="13063" width="13.28515625" style="158" customWidth="1"/>
    <col min="13064" max="13064" width="11.7109375" style="158" customWidth="1"/>
    <col min="13065" max="13313" width="9.140625" style="158"/>
    <col min="13314" max="13314" width="5.28515625" style="158" customWidth="1"/>
    <col min="13315" max="13315" width="57" style="158" customWidth="1"/>
    <col min="13316" max="13316" width="5" style="158" customWidth="1"/>
    <col min="13317" max="13317" width="7" style="158" customWidth="1"/>
    <col min="13318" max="13318" width="9.140625" style="158"/>
    <col min="13319" max="13319" width="13.28515625" style="158" customWidth="1"/>
    <col min="13320" max="13320" width="11.7109375" style="158" customWidth="1"/>
    <col min="13321" max="13569" width="9.140625" style="158"/>
    <col min="13570" max="13570" width="5.28515625" style="158" customWidth="1"/>
    <col min="13571" max="13571" width="57" style="158" customWidth="1"/>
    <col min="13572" max="13572" width="5" style="158" customWidth="1"/>
    <col min="13573" max="13573" width="7" style="158" customWidth="1"/>
    <col min="13574" max="13574" width="9.140625" style="158"/>
    <col min="13575" max="13575" width="13.28515625" style="158" customWidth="1"/>
    <col min="13576" max="13576" width="11.7109375" style="158" customWidth="1"/>
    <col min="13577" max="13825" width="9.140625" style="158"/>
    <col min="13826" max="13826" width="5.28515625" style="158" customWidth="1"/>
    <col min="13827" max="13827" width="57" style="158" customWidth="1"/>
    <col min="13828" max="13828" width="5" style="158" customWidth="1"/>
    <col min="13829" max="13829" width="7" style="158" customWidth="1"/>
    <col min="13830" max="13830" width="9.140625" style="158"/>
    <col min="13831" max="13831" width="13.28515625" style="158" customWidth="1"/>
    <col min="13832" max="13832" width="11.7109375" style="158" customWidth="1"/>
    <col min="13833" max="14081" width="9.140625" style="158"/>
    <col min="14082" max="14082" width="5.28515625" style="158" customWidth="1"/>
    <col min="14083" max="14083" width="57" style="158" customWidth="1"/>
    <col min="14084" max="14084" width="5" style="158" customWidth="1"/>
    <col min="14085" max="14085" width="7" style="158" customWidth="1"/>
    <col min="14086" max="14086" width="9.140625" style="158"/>
    <col min="14087" max="14087" width="13.28515625" style="158" customWidth="1"/>
    <col min="14088" max="14088" width="11.7109375" style="158" customWidth="1"/>
    <col min="14089" max="14337" width="9.140625" style="158"/>
    <col min="14338" max="14338" width="5.28515625" style="158" customWidth="1"/>
    <col min="14339" max="14339" width="57" style="158" customWidth="1"/>
    <col min="14340" max="14340" width="5" style="158" customWidth="1"/>
    <col min="14341" max="14341" width="7" style="158" customWidth="1"/>
    <col min="14342" max="14342" width="9.140625" style="158"/>
    <col min="14343" max="14343" width="13.28515625" style="158" customWidth="1"/>
    <col min="14344" max="14344" width="11.7109375" style="158" customWidth="1"/>
    <col min="14345" max="14593" width="9.140625" style="158"/>
    <col min="14594" max="14594" width="5.28515625" style="158" customWidth="1"/>
    <col min="14595" max="14595" width="57" style="158" customWidth="1"/>
    <col min="14596" max="14596" width="5" style="158" customWidth="1"/>
    <col min="14597" max="14597" width="7" style="158" customWidth="1"/>
    <col min="14598" max="14598" width="9.140625" style="158"/>
    <col min="14599" max="14599" width="13.28515625" style="158" customWidth="1"/>
    <col min="14600" max="14600" width="11.7109375" style="158" customWidth="1"/>
    <col min="14601" max="14849" width="9.140625" style="158"/>
    <col min="14850" max="14850" width="5.28515625" style="158" customWidth="1"/>
    <col min="14851" max="14851" width="57" style="158" customWidth="1"/>
    <col min="14852" max="14852" width="5" style="158" customWidth="1"/>
    <col min="14853" max="14853" width="7" style="158" customWidth="1"/>
    <col min="14854" max="14854" width="9.140625" style="158"/>
    <col min="14855" max="14855" width="13.28515625" style="158" customWidth="1"/>
    <col min="14856" max="14856" width="11.7109375" style="158" customWidth="1"/>
    <col min="14857" max="15105" width="9.140625" style="158"/>
    <col min="15106" max="15106" width="5.28515625" style="158" customWidth="1"/>
    <col min="15107" max="15107" width="57" style="158" customWidth="1"/>
    <col min="15108" max="15108" width="5" style="158" customWidth="1"/>
    <col min="15109" max="15109" width="7" style="158" customWidth="1"/>
    <col min="15110" max="15110" width="9.140625" style="158"/>
    <col min="15111" max="15111" width="13.28515625" style="158" customWidth="1"/>
    <col min="15112" max="15112" width="11.7109375" style="158" customWidth="1"/>
    <col min="15113" max="15361" width="9.140625" style="158"/>
    <col min="15362" max="15362" width="5.28515625" style="158" customWidth="1"/>
    <col min="15363" max="15363" width="57" style="158" customWidth="1"/>
    <col min="15364" max="15364" width="5" style="158" customWidth="1"/>
    <col min="15365" max="15365" width="7" style="158" customWidth="1"/>
    <col min="15366" max="15366" width="9.140625" style="158"/>
    <col min="15367" max="15367" width="13.28515625" style="158" customWidth="1"/>
    <col min="15368" max="15368" width="11.7109375" style="158" customWidth="1"/>
    <col min="15369" max="15617" width="9.140625" style="158"/>
    <col min="15618" max="15618" width="5.28515625" style="158" customWidth="1"/>
    <col min="15619" max="15619" width="57" style="158" customWidth="1"/>
    <col min="15620" max="15620" width="5" style="158" customWidth="1"/>
    <col min="15621" max="15621" width="7" style="158" customWidth="1"/>
    <col min="15622" max="15622" width="9.140625" style="158"/>
    <col min="15623" max="15623" width="13.28515625" style="158" customWidth="1"/>
    <col min="15624" max="15624" width="11.7109375" style="158" customWidth="1"/>
    <col min="15625" max="15873" width="9.140625" style="158"/>
    <col min="15874" max="15874" width="5.28515625" style="158" customWidth="1"/>
    <col min="15875" max="15875" width="57" style="158" customWidth="1"/>
    <col min="15876" max="15876" width="5" style="158" customWidth="1"/>
    <col min="15877" max="15877" width="7" style="158" customWidth="1"/>
    <col min="15878" max="15878" width="9.140625" style="158"/>
    <col min="15879" max="15879" width="13.28515625" style="158" customWidth="1"/>
    <col min="15880" max="15880" width="11.7109375" style="158" customWidth="1"/>
    <col min="15881" max="16129" width="9.140625" style="158"/>
    <col min="16130" max="16130" width="5.28515625" style="158" customWidth="1"/>
    <col min="16131" max="16131" width="57" style="158" customWidth="1"/>
    <col min="16132" max="16132" width="5" style="158" customWidth="1"/>
    <col min="16133" max="16133" width="7" style="158" customWidth="1"/>
    <col min="16134" max="16134" width="9.140625" style="158"/>
    <col min="16135" max="16135" width="13.28515625" style="158" customWidth="1"/>
    <col min="16136" max="16136" width="11.7109375" style="158" customWidth="1"/>
    <col min="16137" max="16384" width="9.140625" style="158"/>
  </cols>
  <sheetData>
    <row r="1" spans="1:9" s="5" customFormat="1" ht="51.75" customHeight="1" thickBot="1" x14ac:dyDescent="0.25">
      <c r="A1" s="890"/>
      <c r="B1" s="891"/>
      <c r="C1" s="891"/>
      <c r="D1" s="891"/>
      <c r="E1" s="891"/>
      <c r="F1" s="891"/>
      <c r="G1" s="891"/>
      <c r="H1" s="892"/>
    </row>
    <row r="2" spans="1:9" s="5" customFormat="1" ht="17.100000000000001" customHeight="1" x14ac:dyDescent="0.2">
      <c r="A2" s="1053" t="s">
        <v>870</v>
      </c>
      <c r="B2" s="1054"/>
      <c r="C2" s="1054"/>
      <c r="D2" s="1054"/>
      <c r="E2" s="1054"/>
      <c r="F2" s="1054"/>
      <c r="G2" s="1054"/>
      <c r="H2" s="1055"/>
    </row>
    <row r="3" spans="1:9" s="5" customFormat="1" ht="17.100000000000001" customHeight="1" x14ac:dyDescent="0.2">
      <c r="A3" s="896" t="s">
        <v>277</v>
      </c>
      <c r="B3" s="815"/>
      <c r="C3" s="815" t="e">
        <f>#REF!</f>
        <v>#REF!</v>
      </c>
      <c r="D3" s="815"/>
      <c r="E3" s="827" t="s">
        <v>339</v>
      </c>
      <c r="F3" s="827"/>
      <c r="G3" s="989" t="e">
        <f>#REF!</f>
        <v>#REF!</v>
      </c>
      <c r="H3" s="990"/>
    </row>
    <row r="4" spans="1:9" s="5" customFormat="1" ht="17.100000000000001" customHeight="1" thickBot="1" x14ac:dyDescent="0.25">
      <c r="A4" s="896" t="s">
        <v>333</v>
      </c>
      <c r="B4" s="815"/>
      <c r="C4" s="815" t="e">
        <f>#REF!</f>
        <v>#REF!</v>
      </c>
      <c r="D4" s="815"/>
      <c r="E4" s="827" t="s">
        <v>338</v>
      </c>
      <c r="F4" s="827"/>
      <c r="G4" s="817" t="e">
        <f>#REF!</f>
        <v>#REF!</v>
      </c>
      <c r="H4" s="818"/>
    </row>
    <row r="5" spans="1:9" s="5" customFormat="1" ht="17.100000000000001" customHeight="1" thickBot="1" x14ac:dyDescent="0.25">
      <c r="A5" s="877"/>
      <c r="B5" s="878"/>
      <c r="C5" s="878"/>
      <c r="D5" s="878"/>
      <c r="E5" s="878"/>
      <c r="F5" s="878"/>
      <c r="G5" s="878"/>
      <c r="H5" s="879"/>
      <c r="I5" s="229"/>
    </row>
    <row r="6" spans="1:9" ht="17.100000000000001" customHeight="1" thickBot="1" x14ac:dyDescent="0.25">
      <c r="A6" s="1060" t="s">
        <v>871</v>
      </c>
      <c r="B6" s="1061"/>
      <c r="C6" s="1061"/>
      <c r="D6" s="1062"/>
      <c r="E6" s="1062"/>
      <c r="F6" s="1062"/>
      <c r="G6" s="1062"/>
      <c r="H6" s="325"/>
    </row>
    <row r="7" spans="1:9" ht="30" customHeight="1" thickBot="1" x14ac:dyDescent="0.25">
      <c r="A7" s="330" t="s">
        <v>0</v>
      </c>
      <c r="B7" s="1056" t="s">
        <v>1</v>
      </c>
      <c r="C7" s="1057"/>
      <c r="D7" s="331" t="s">
        <v>2</v>
      </c>
      <c r="E7" s="332" t="s">
        <v>3</v>
      </c>
      <c r="F7" s="333" t="s">
        <v>4</v>
      </c>
      <c r="G7" s="334" t="s">
        <v>5</v>
      </c>
      <c r="H7" s="312" t="s">
        <v>275</v>
      </c>
    </row>
    <row r="8" spans="1:9" ht="17.100000000000001" customHeight="1" x14ac:dyDescent="0.2">
      <c r="A8" s="328">
        <v>1</v>
      </c>
      <c r="B8" s="1058" t="s">
        <v>873</v>
      </c>
      <c r="C8" s="1059"/>
      <c r="D8" s="162"/>
      <c r="E8" s="301"/>
      <c r="F8" s="294"/>
      <c r="G8" s="294"/>
      <c r="H8" s="329"/>
    </row>
    <row r="9" spans="1:9" ht="30" customHeight="1" x14ac:dyDescent="0.2">
      <c r="A9" s="160" t="s">
        <v>6</v>
      </c>
      <c r="B9" s="1049" t="s">
        <v>405</v>
      </c>
      <c r="C9" s="1050"/>
      <c r="D9" s="287" t="s">
        <v>10</v>
      </c>
      <c r="E9" s="289">
        <f>'8A.1 V. Infilt. Mem Cal Cp35'!J29</f>
        <v>10.76</v>
      </c>
      <c r="F9" s="281">
        <v>78.239999999999995</v>
      </c>
      <c r="G9" s="288">
        <f t="shared" ref="G9:G17" si="0">ROUND(E9*F9,2)</f>
        <v>841.86</v>
      </c>
      <c r="H9" s="210">
        <v>93358</v>
      </c>
      <c r="I9" s="161"/>
    </row>
    <row r="10" spans="1:9" ht="17.100000000000001" customHeight="1" x14ac:dyDescent="0.2">
      <c r="A10" s="225" t="s">
        <v>8</v>
      </c>
      <c r="B10" s="1049" t="s">
        <v>828</v>
      </c>
      <c r="C10" s="1050"/>
      <c r="D10" s="226" t="s">
        <v>10</v>
      </c>
      <c r="E10" s="711">
        <f>'8A.1 V. Infilt. Mem Cal Cp35'!J36</f>
        <v>4.8000000000000007</v>
      </c>
      <c r="F10" s="712">
        <f>'11. Composições'!G111</f>
        <v>80.807599999999994</v>
      </c>
      <c r="G10" s="288">
        <f t="shared" si="0"/>
        <v>387.88</v>
      </c>
      <c r="H10" s="738" t="s">
        <v>829</v>
      </c>
    </row>
    <row r="11" spans="1:9" ht="33" customHeight="1" x14ac:dyDescent="0.2">
      <c r="A11" s="225" t="s">
        <v>23</v>
      </c>
      <c r="B11" s="1049" t="s">
        <v>831</v>
      </c>
      <c r="C11" s="1050"/>
      <c r="D11" s="290" t="s">
        <v>33</v>
      </c>
      <c r="E11" s="284">
        <v>12</v>
      </c>
      <c r="F11" s="291">
        <f>'11. Composições'!G118</f>
        <v>13.0174</v>
      </c>
      <c r="G11" s="288">
        <f>ROUND(E11*F11,2)</f>
        <v>156.21</v>
      </c>
      <c r="H11" s="667" t="s">
        <v>833</v>
      </c>
    </row>
    <row r="12" spans="1:9" ht="16.5" customHeight="1" x14ac:dyDescent="0.2">
      <c r="A12" s="225" t="s">
        <v>24</v>
      </c>
      <c r="B12" s="939" t="s">
        <v>891</v>
      </c>
      <c r="C12" s="940"/>
      <c r="D12" s="226" t="s">
        <v>22</v>
      </c>
      <c r="E12" s="283">
        <v>1</v>
      </c>
      <c r="F12" s="744">
        <v>11.53</v>
      </c>
      <c r="G12" s="288">
        <f>ROUND(E12*F12,2)</f>
        <v>11.53</v>
      </c>
      <c r="H12" s="743" t="s">
        <v>890</v>
      </c>
    </row>
    <row r="13" spans="1:9" ht="17.100000000000001" customHeight="1" x14ac:dyDescent="0.2">
      <c r="A13" s="225" t="s">
        <v>25</v>
      </c>
      <c r="B13" s="1049" t="s">
        <v>837</v>
      </c>
      <c r="C13" s="1050"/>
      <c r="D13" s="226" t="s">
        <v>7</v>
      </c>
      <c r="E13" s="283">
        <f>'8A.1 V. Infilt. Mem Cal Cp35'!D38</f>
        <v>18</v>
      </c>
      <c r="F13" s="748">
        <v>4</v>
      </c>
      <c r="G13" s="288">
        <f>ROUND(E13*F13,2)</f>
        <v>72</v>
      </c>
      <c r="H13" s="747" t="s">
        <v>838</v>
      </c>
    </row>
    <row r="14" spans="1:9" ht="17.100000000000001" customHeight="1" x14ac:dyDescent="0.2">
      <c r="A14" s="225" t="s">
        <v>26</v>
      </c>
      <c r="B14" s="1049" t="s">
        <v>832</v>
      </c>
      <c r="C14" s="1050"/>
      <c r="D14" s="226" t="s">
        <v>62</v>
      </c>
      <c r="E14" s="283">
        <f>'8A.1 V. Infilt. Mem Cal Cp35'!J55</f>
        <v>5.160000000000001</v>
      </c>
      <c r="F14" s="744">
        <v>47.44</v>
      </c>
      <c r="G14" s="288">
        <f t="shared" si="0"/>
        <v>244.79</v>
      </c>
      <c r="H14" s="227">
        <v>96995</v>
      </c>
      <c r="I14" s="161"/>
    </row>
    <row r="15" spans="1:9" ht="34.5" customHeight="1" x14ac:dyDescent="0.2">
      <c r="A15" s="225" t="s">
        <v>27</v>
      </c>
      <c r="B15" s="937" t="s">
        <v>746</v>
      </c>
      <c r="C15" s="947"/>
      <c r="D15" s="226" t="s">
        <v>33</v>
      </c>
      <c r="E15" s="283">
        <v>6</v>
      </c>
      <c r="F15" s="744">
        <v>60.33</v>
      </c>
      <c r="G15" s="281">
        <f t="shared" si="0"/>
        <v>361.98</v>
      </c>
      <c r="H15" s="743">
        <v>89714</v>
      </c>
      <c r="I15" s="232"/>
    </row>
    <row r="16" spans="1:9" ht="38.450000000000003" customHeight="1" x14ac:dyDescent="0.2">
      <c r="A16" s="225" t="s">
        <v>34</v>
      </c>
      <c r="B16" s="1049" t="s">
        <v>836</v>
      </c>
      <c r="C16" s="1050"/>
      <c r="D16" s="226" t="s">
        <v>22</v>
      </c>
      <c r="E16" s="283">
        <v>1</v>
      </c>
      <c r="F16" s="744">
        <v>50.21</v>
      </c>
      <c r="G16" s="288">
        <f t="shared" si="0"/>
        <v>50.21</v>
      </c>
      <c r="H16" s="214">
        <v>89797</v>
      </c>
    </row>
    <row r="17" spans="1:10" ht="30" customHeight="1" thickBot="1" x14ac:dyDescent="0.25">
      <c r="A17" s="225" t="s">
        <v>40</v>
      </c>
      <c r="B17" s="1051" t="s">
        <v>221</v>
      </c>
      <c r="C17" s="1052"/>
      <c r="D17" s="228" t="s">
        <v>39</v>
      </c>
      <c r="E17" s="335">
        <v>1</v>
      </c>
      <c r="F17" s="282">
        <f>'11. Composições'!G104</f>
        <v>482.54994249999999</v>
      </c>
      <c r="G17" s="336">
        <f t="shared" si="0"/>
        <v>482.55</v>
      </c>
      <c r="H17" s="737" t="s">
        <v>760</v>
      </c>
      <c r="I17" s="218"/>
      <c r="J17" s="218"/>
    </row>
    <row r="18" spans="1:10" ht="17.100000000000001" customHeight="1" thickBot="1" x14ac:dyDescent="0.25">
      <c r="A18" s="1047" t="s">
        <v>21</v>
      </c>
      <c r="B18" s="1048"/>
      <c r="C18" s="1048"/>
      <c r="D18" s="1048"/>
      <c r="E18" s="1048"/>
      <c r="F18" s="1048"/>
      <c r="G18" s="326">
        <f>SUM(G9:G17)</f>
        <v>2609.0100000000002</v>
      </c>
      <c r="H18" s="337"/>
      <c r="I18" s="359"/>
    </row>
    <row r="20" spans="1:10" x14ac:dyDescent="0.2">
      <c r="C20" s="158" t="s">
        <v>226</v>
      </c>
    </row>
    <row r="21" spans="1:10" x14ac:dyDescent="0.2">
      <c r="A21" s="159"/>
      <c r="B21" s="159"/>
      <c r="C21" s="158" t="s">
        <v>222</v>
      </c>
    </row>
    <row r="22" spans="1:10" x14ac:dyDescent="0.2">
      <c r="A22" s="159"/>
      <c r="B22" s="159"/>
      <c r="C22" s="2" t="s">
        <v>223</v>
      </c>
      <c r="D22" s="2"/>
      <c r="E22" s="260"/>
      <c r="F22" s="2"/>
      <c r="G22" s="2"/>
      <c r="H22" s="2"/>
      <c r="I22" s="2"/>
    </row>
    <row r="23" spans="1:10" x14ac:dyDescent="0.2">
      <c r="C23" s="232" t="s">
        <v>360</v>
      </c>
    </row>
    <row r="26" spans="1:10" ht="52.5" customHeight="1" x14ac:dyDescent="0.2">
      <c r="C26" s="875" t="s">
        <v>269</v>
      </c>
      <c r="D26" s="876"/>
      <c r="E26" s="876"/>
      <c r="F26" s="876"/>
      <c r="G26" s="876"/>
      <c r="H26" s="876"/>
    </row>
  </sheetData>
  <mergeCells count="25">
    <mergeCell ref="A5:H5"/>
    <mergeCell ref="B7:C7"/>
    <mergeCell ref="B8:C8"/>
    <mergeCell ref="B9:C9"/>
    <mergeCell ref="B10:C10"/>
    <mergeCell ref="A6:G6"/>
    <mergeCell ref="A1:H1"/>
    <mergeCell ref="A2:H2"/>
    <mergeCell ref="A3:B3"/>
    <mergeCell ref="A4:B4"/>
    <mergeCell ref="C3:D3"/>
    <mergeCell ref="E3:F3"/>
    <mergeCell ref="G3:H3"/>
    <mergeCell ref="C4:D4"/>
    <mergeCell ref="E4:F4"/>
    <mergeCell ref="G4:H4"/>
    <mergeCell ref="A18:F18"/>
    <mergeCell ref="C26:H26"/>
    <mergeCell ref="B14:C14"/>
    <mergeCell ref="B12:C12"/>
    <mergeCell ref="B11:C11"/>
    <mergeCell ref="B15:C15"/>
    <mergeCell ref="B16:C16"/>
    <mergeCell ref="B13:C13"/>
    <mergeCell ref="B17:C17"/>
  </mergeCells>
  <printOptions horizontalCentered="1"/>
  <pageMargins left="0.59055118110236227" right="0.59055118110236227" top="1.1811023622047245" bottom="0.98425196850393704" header="0.51181102362204722" footer="0.51181102362204722"/>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Y130"/>
  <sheetViews>
    <sheetView workbookViewId="0">
      <selection activeCell="G24" sqref="G24"/>
    </sheetView>
  </sheetViews>
  <sheetFormatPr defaultRowHeight="12.75" x14ac:dyDescent="0.2"/>
  <cols>
    <col min="1" max="1" width="8.140625" style="232" customWidth="1"/>
    <col min="2" max="2" width="66.28515625" style="232" customWidth="1"/>
    <col min="3" max="3" width="7.85546875" style="232" customWidth="1"/>
    <col min="4" max="4" width="8.5703125" style="564" customWidth="1"/>
    <col min="5" max="5" width="10.7109375" style="232" customWidth="1"/>
    <col min="6" max="6" width="13.28515625" style="232" customWidth="1"/>
    <col min="7" max="7" width="11.7109375" style="232" customWidth="1"/>
    <col min="8" max="11" width="9.140625" style="232"/>
    <col min="12" max="12" width="35.7109375" style="232" customWidth="1"/>
    <col min="13" max="256" width="9.140625" style="232"/>
    <col min="257" max="257" width="5.28515625" style="232" customWidth="1"/>
    <col min="258" max="258" width="57" style="232" customWidth="1"/>
    <col min="259" max="259" width="5" style="232" customWidth="1"/>
    <col min="260" max="260" width="7" style="232" customWidth="1"/>
    <col min="261" max="261" width="9.140625" style="232"/>
    <col min="262" max="262" width="13.28515625" style="232" customWidth="1"/>
    <col min="263" max="263" width="11.7109375" style="232" customWidth="1"/>
    <col min="264" max="512" width="9.140625" style="232"/>
    <col min="513" max="513" width="5.28515625" style="232" customWidth="1"/>
    <col min="514" max="514" width="57" style="232" customWidth="1"/>
    <col min="515" max="515" width="5" style="232" customWidth="1"/>
    <col min="516" max="516" width="7" style="232" customWidth="1"/>
    <col min="517" max="517" width="9.140625" style="232"/>
    <col min="518" max="518" width="13.28515625" style="232" customWidth="1"/>
    <col min="519" max="519" width="11.7109375" style="232" customWidth="1"/>
    <col min="520" max="768" width="9.140625" style="232"/>
    <col min="769" max="769" width="5.28515625" style="232" customWidth="1"/>
    <col min="770" max="770" width="57" style="232" customWidth="1"/>
    <col min="771" max="771" width="5" style="232" customWidth="1"/>
    <col min="772" max="772" width="7" style="232" customWidth="1"/>
    <col min="773" max="773" width="9.140625" style="232"/>
    <col min="774" max="774" width="13.28515625" style="232" customWidth="1"/>
    <col min="775" max="775" width="11.7109375" style="232" customWidth="1"/>
    <col min="776" max="1024" width="9.140625" style="232"/>
    <col min="1025" max="1025" width="5.28515625" style="232" customWidth="1"/>
    <col min="1026" max="1026" width="57" style="232" customWidth="1"/>
    <col min="1027" max="1027" width="5" style="232" customWidth="1"/>
    <col min="1028" max="1028" width="7" style="232" customWidth="1"/>
    <col min="1029" max="1029" width="9.140625" style="232"/>
    <col min="1030" max="1030" width="13.28515625" style="232" customWidth="1"/>
    <col min="1031" max="1031" width="11.7109375" style="232" customWidth="1"/>
    <col min="1032" max="1280" width="9.140625" style="232"/>
    <col min="1281" max="1281" width="5.28515625" style="232" customWidth="1"/>
    <col min="1282" max="1282" width="57" style="232" customWidth="1"/>
    <col min="1283" max="1283" width="5" style="232" customWidth="1"/>
    <col min="1284" max="1284" width="7" style="232" customWidth="1"/>
    <col min="1285" max="1285" width="9.140625" style="232"/>
    <col min="1286" max="1286" width="13.28515625" style="232" customWidth="1"/>
    <col min="1287" max="1287" width="11.7109375" style="232" customWidth="1"/>
    <col min="1288" max="1536" width="9.140625" style="232"/>
    <col min="1537" max="1537" width="5.28515625" style="232" customWidth="1"/>
    <col min="1538" max="1538" width="57" style="232" customWidth="1"/>
    <col min="1539" max="1539" width="5" style="232" customWidth="1"/>
    <col min="1540" max="1540" width="7" style="232" customWidth="1"/>
    <col min="1541" max="1541" width="9.140625" style="232"/>
    <col min="1542" max="1542" width="13.28515625" style="232" customWidth="1"/>
    <col min="1543" max="1543" width="11.7109375" style="232" customWidth="1"/>
    <col min="1544" max="1792" width="9.140625" style="232"/>
    <col min="1793" max="1793" width="5.28515625" style="232" customWidth="1"/>
    <col min="1794" max="1794" width="57" style="232" customWidth="1"/>
    <col min="1795" max="1795" width="5" style="232" customWidth="1"/>
    <col min="1796" max="1796" width="7" style="232" customWidth="1"/>
    <col min="1797" max="1797" width="9.140625" style="232"/>
    <col min="1798" max="1798" width="13.28515625" style="232" customWidth="1"/>
    <col min="1799" max="1799" width="11.7109375" style="232" customWidth="1"/>
    <col min="1800" max="2048" width="9.140625" style="232"/>
    <col min="2049" max="2049" width="5.28515625" style="232" customWidth="1"/>
    <col min="2050" max="2050" width="57" style="232" customWidth="1"/>
    <col min="2051" max="2051" width="5" style="232" customWidth="1"/>
    <col min="2052" max="2052" width="7" style="232" customWidth="1"/>
    <col min="2053" max="2053" width="9.140625" style="232"/>
    <col min="2054" max="2054" width="13.28515625" style="232" customWidth="1"/>
    <col min="2055" max="2055" width="11.7109375" style="232" customWidth="1"/>
    <col min="2056" max="2304" width="9.140625" style="232"/>
    <col min="2305" max="2305" width="5.28515625" style="232" customWidth="1"/>
    <col min="2306" max="2306" width="57" style="232" customWidth="1"/>
    <col min="2307" max="2307" width="5" style="232" customWidth="1"/>
    <col min="2308" max="2308" width="7" style="232" customWidth="1"/>
    <col min="2309" max="2309" width="9.140625" style="232"/>
    <col min="2310" max="2310" width="13.28515625" style="232" customWidth="1"/>
    <col min="2311" max="2311" width="11.7109375" style="232" customWidth="1"/>
    <col min="2312" max="2560" width="9.140625" style="232"/>
    <col min="2561" max="2561" width="5.28515625" style="232" customWidth="1"/>
    <col min="2562" max="2562" width="57" style="232" customWidth="1"/>
    <col min="2563" max="2563" width="5" style="232" customWidth="1"/>
    <col min="2564" max="2564" width="7" style="232" customWidth="1"/>
    <col min="2565" max="2565" width="9.140625" style="232"/>
    <col min="2566" max="2566" width="13.28515625" style="232" customWidth="1"/>
    <col min="2567" max="2567" width="11.7109375" style="232" customWidth="1"/>
    <col min="2568" max="2816" width="9.140625" style="232"/>
    <col min="2817" max="2817" width="5.28515625" style="232" customWidth="1"/>
    <col min="2818" max="2818" width="57" style="232" customWidth="1"/>
    <col min="2819" max="2819" width="5" style="232" customWidth="1"/>
    <col min="2820" max="2820" width="7" style="232" customWidth="1"/>
    <col min="2821" max="2821" width="9.140625" style="232"/>
    <col min="2822" max="2822" width="13.28515625" style="232" customWidth="1"/>
    <col min="2823" max="2823" width="11.7109375" style="232" customWidth="1"/>
    <col min="2824" max="3072" width="9.140625" style="232"/>
    <col min="3073" max="3073" width="5.28515625" style="232" customWidth="1"/>
    <col min="3074" max="3074" width="57" style="232" customWidth="1"/>
    <col min="3075" max="3075" width="5" style="232" customWidth="1"/>
    <col min="3076" max="3076" width="7" style="232" customWidth="1"/>
    <col min="3077" max="3077" width="9.140625" style="232"/>
    <col min="3078" max="3078" width="13.28515625" style="232" customWidth="1"/>
    <col min="3079" max="3079" width="11.7109375" style="232" customWidth="1"/>
    <col min="3080" max="3328" width="9.140625" style="232"/>
    <col min="3329" max="3329" width="5.28515625" style="232" customWidth="1"/>
    <col min="3330" max="3330" width="57" style="232" customWidth="1"/>
    <col min="3331" max="3331" width="5" style="232" customWidth="1"/>
    <col min="3332" max="3332" width="7" style="232" customWidth="1"/>
    <col min="3333" max="3333" width="9.140625" style="232"/>
    <col min="3334" max="3334" width="13.28515625" style="232" customWidth="1"/>
    <col min="3335" max="3335" width="11.7109375" style="232" customWidth="1"/>
    <col min="3336" max="3584" width="9.140625" style="232"/>
    <col min="3585" max="3585" width="5.28515625" style="232" customWidth="1"/>
    <col min="3586" max="3586" width="57" style="232" customWidth="1"/>
    <col min="3587" max="3587" width="5" style="232" customWidth="1"/>
    <col min="3588" max="3588" width="7" style="232" customWidth="1"/>
    <col min="3589" max="3589" width="9.140625" style="232"/>
    <col min="3590" max="3590" width="13.28515625" style="232" customWidth="1"/>
    <col min="3591" max="3591" width="11.7109375" style="232" customWidth="1"/>
    <col min="3592" max="3840" width="9.140625" style="232"/>
    <col min="3841" max="3841" width="5.28515625" style="232" customWidth="1"/>
    <col min="3842" max="3842" width="57" style="232" customWidth="1"/>
    <col min="3843" max="3843" width="5" style="232" customWidth="1"/>
    <col min="3844" max="3844" width="7" style="232" customWidth="1"/>
    <col min="3845" max="3845" width="9.140625" style="232"/>
    <col min="3846" max="3846" width="13.28515625" style="232" customWidth="1"/>
    <col min="3847" max="3847" width="11.7109375" style="232" customWidth="1"/>
    <col min="3848" max="4096" width="9.140625" style="232"/>
    <col min="4097" max="4097" width="5.28515625" style="232" customWidth="1"/>
    <col min="4098" max="4098" width="57" style="232" customWidth="1"/>
    <col min="4099" max="4099" width="5" style="232" customWidth="1"/>
    <col min="4100" max="4100" width="7" style="232" customWidth="1"/>
    <col min="4101" max="4101" width="9.140625" style="232"/>
    <col min="4102" max="4102" width="13.28515625" style="232" customWidth="1"/>
    <col min="4103" max="4103" width="11.7109375" style="232" customWidth="1"/>
    <col min="4104" max="4352" width="9.140625" style="232"/>
    <col min="4353" max="4353" width="5.28515625" style="232" customWidth="1"/>
    <col min="4354" max="4354" width="57" style="232" customWidth="1"/>
    <col min="4355" max="4355" width="5" style="232" customWidth="1"/>
    <col min="4356" max="4356" width="7" style="232" customWidth="1"/>
    <col min="4357" max="4357" width="9.140625" style="232"/>
    <col min="4358" max="4358" width="13.28515625" style="232" customWidth="1"/>
    <col min="4359" max="4359" width="11.7109375" style="232" customWidth="1"/>
    <col min="4360" max="4608" width="9.140625" style="232"/>
    <col min="4609" max="4609" width="5.28515625" style="232" customWidth="1"/>
    <col min="4610" max="4610" width="57" style="232" customWidth="1"/>
    <col min="4611" max="4611" width="5" style="232" customWidth="1"/>
    <col min="4612" max="4612" width="7" style="232" customWidth="1"/>
    <col min="4613" max="4613" width="9.140625" style="232"/>
    <col min="4614" max="4614" width="13.28515625" style="232" customWidth="1"/>
    <col min="4615" max="4615" width="11.7109375" style="232" customWidth="1"/>
    <col min="4616" max="4864" width="9.140625" style="232"/>
    <col min="4865" max="4865" width="5.28515625" style="232" customWidth="1"/>
    <col min="4866" max="4866" width="57" style="232" customWidth="1"/>
    <col min="4867" max="4867" width="5" style="232" customWidth="1"/>
    <col min="4868" max="4868" width="7" style="232" customWidth="1"/>
    <col min="4869" max="4869" width="9.140625" style="232"/>
    <col min="4870" max="4870" width="13.28515625" style="232" customWidth="1"/>
    <col min="4871" max="4871" width="11.7109375" style="232" customWidth="1"/>
    <col min="4872" max="5120" width="9.140625" style="232"/>
    <col min="5121" max="5121" width="5.28515625" style="232" customWidth="1"/>
    <col min="5122" max="5122" width="57" style="232" customWidth="1"/>
    <col min="5123" max="5123" width="5" style="232" customWidth="1"/>
    <col min="5124" max="5124" width="7" style="232" customWidth="1"/>
    <col min="5125" max="5125" width="9.140625" style="232"/>
    <col min="5126" max="5126" width="13.28515625" style="232" customWidth="1"/>
    <col min="5127" max="5127" width="11.7109375" style="232" customWidth="1"/>
    <col min="5128" max="5376" width="9.140625" style="232"/>
    <col min="5377" max="5377" width="5.28515625" style="232" customWidth="1"/>
    <col min="5378" max="5378" width="57" style="232" customWidth="1"/>
    <col min="5379" max="5379" width="5" style="232" customWidth="1"/>
    <col min="5380" max="5380" width="7" style="232" customWidth="1"/>
    <col min="5381" max="5381" width="9.140625" style="232"/>
    <col min="5382" max="5382" width="13.28515625" style="232" customWidth="1"/>
    <col min="5383" max="5383" width="11.7109375" style="232" customWidth="1"/>
    <col min="5384" max="5632" width="9.140625" style="232"/>
    <col min="5633" max="5633" width="5.28515625" style="232" customWidth="1"/>
    <col min="5634" max="5634" width="57" style="232" customWidth="1"/>
    <col min="5635" max="5635" width="5" style="232" customWidth="1"/>
    <col min="5636" max="5636" width="7" style="232" customWidth="1"/>
    <col min="5637" max="5637" width="9.140625" style="232"/>
    <col min="5638" max="5638" width="13.28515625" style="232" customWidth="1"/>
    <col min="5639" max="5639" width="11.7109375" style="232" customWidth="1"/>
    <col min="5640" max="5888" width="9.140625" style="232"/>
    <col min="5889" max="5889" width="5.28515625" style="232" customWidth="1"/>
    <col min="5890" max="5890" width="57" style="232" customWidth="1"/>
    <col min="5891" max="5891" width="5" style="232" customWidth="1"/>
    <col min="5892" max="5892" width="7" style="232" customWidth="1"/>
    <col min="5893" max="5893" width="9.140625" style="232"/>
    <col min="5894" max="5894" width="13.28515625" style="232" customWidth="1"/>
    <col min="5895" max="5895" width="11.7109375" style="232" customWidth="1"/>
    <col min="5896" max="6144" width="9.140625" style="232"/>
    <col min="6145" max="6145" width="5.28515625" style="232" customWidth="1"/>
    <col min="6146" max="6146" width="57" style="232" customWidth="1"/>
    <col min="6147" max="6147" width="5" style="232" customWidth="1"/>
    <col min="6148" max="6148" width="7" style="232" customWidth="1"/>
    <col min="6149" max="6149" width="9.140625" style="232"/>
    <col min="6150" max="6150" width="13.28515625" style="232" customWidth="1"/>
    <col min="6151" max="6151" width="11.7109375" style="232" customWidth="1"/>
    <col min="6152" max="6400" width="9.140625" style="232"/>
    <col min="6401" max="6401" width="5.28515625" style="232" customWidth="1"/>
    <col min="6402" max="6402" width="57" style="232" customWidth="1"/>
    <col min="6403" max="6403" width="5" style="232" customWidth="1"/>
    <col min="6404" max="6404" width="7" style="232" customWidth="1"/>
    <col min="6405" max="6405" width="9.140625" style="232"/>
    <col min="6406" max="6406" width="13.28515625" style="232" customWidth="1"/>
    <col min="6407" max="6407" width="11.7109375" style="232" customWidth="1"/>
    <col min="6408" max="6656" width="9.140625" style="232"/>
    <col min="6657" max="6657" width="5.28515625" style="232" customWidth="1"/>
    <col min="6658" max="6658" width="57" style="232" customWidth="1"/>
    <col min="6659" max="6659" width="5" style="232" customWidth="1"/>
    <col min="6660" max="6660" width="7" style="232" customWidth="1"/>
    <col min="6661" max="6661" width="9.140625" style="232"/>
    <col min="6662" max="6662" width="13.28515625" style="232" customWidth="1"/>
    <col min="6663" max="6663" width="11.7109375" style="232" customWidth="1"/>
    <col min="6664" max="6912" width="9.140625" style="232"/>
    <col min="6913" max="6913" width="5.28515625" style="232" customWidth="1"/>
    <col min="6914" max="6914" width="57" style="232" customWidth="1"/>
    <col min="6915" max="6915" width="5" style="232" customWidth="1"/>
    <col min="6916" max="6916" width="7" style="232" customWidth="1"/>
    <col min="6917" max="6917" width="9.140625" style="232"/>
    <col min="6918" max="6918" width="13.28515625" style="232" customWidth="1"/>
    <col min="6919" max="6919" width="11.7109375" style="232" customWidth="1"/>
    <col min="6920" max="7168" width="9.140625" style="232"/>
    <col min="7169" max="7169" width="5.28515625" style="232" customWidth="1"/>
    <col min="7170" max="7170" width="57" style="232" customWidth="1"/>
    <col min="7171" max="7171" width="5" style="232" customWidth="1"/>
    <col min="7172" max="7172" width="7" style="232" customWidth="1"/>
    <col min="7173" max="7173" width="9.140625" style="232"/>
    <col min="7174" max="7174" width="13.28515625" style="232" customWidth="1"/>
    <col min="7175" max="7175" width="11.7109375" style="232" customWidth="1"/>
    <col min="7176" max="7424" width="9.140625" style="232"/>
    <col min="7425" max="7425" width="5.28515625" style="232" customWidth="1"/>
    <col min="7426" max="7426" width="57" style="232" customWidth="1"/>
    <col min="7427" max="7427" width="5" style="232" customWidth="1"/>
    <col min="7428" max="7428" width="7" style="232" customWidth="1"/>
    <col min="7429" max="7429" width="9.140625" style="232"/>
    <col min="7430" max="7430" width="13.28515625" style="232" customWidth="1"/>
    <col min="7431" max="7431" width="11.7109375" style="232" customWidth="1"/>
    <col min="7432" max="7680" width="9.140625" style="232"/>
    <col min="7681" max="7681" width="5.28515625" style="232" customWidth="1"/>
    <col min="7682" max="7682" width="57" style="232" customWidth="1"/>
    <col min="7683" max="7683" width="5" style="232" customWidth="1"/>
    <col min="7684" max="7684" width="7" style="232" customWidth="1"/>
    <col min="7685" max="7685" width="9.140625" style="232"/>
    <col min="7686" max="7686" width="13.28515625" style="232" customWidth="1"/>
    <col min="7687" max="7687" width="11.7109375" style="232" customWidth="1"/>
    <col min="7688" max="7936" width="9.140625" style="232"/>
    <col min="7937" max="7937" width="5.28515625" style="232" customWidth="1"/>
    <col min="7938" max="7938" width="57" style="232" customWidth="1"/>
    <col min="7939" max="7939" width="5" style="232" customWidth="1"/>
    <col min="7940" max="7940" width="7" style="232" customWidth="1"/>
    <col min="7941" max="7941" width="9.140625" style="232"/>
    <col min="7942" max="7942" width="13.28515625" style="232" customWidth="1"/>
    <col min="7943" max="7943" width="11.7109375" style="232" customWidth="1"/>
    <col min="7944" max="8192" width="9.140625" style="232"/>
    <col min="8193" max="8193" width="5.28515625" style="232" customWidth="1"/>
    <col min="8194" max="8194" width="57" style="232" customWidth="1"/>
    <col min="8195" max="8195" width="5" style="232" customWidth="1"/>
    <col min="8196" max="8196" width="7" style="232" customWidth="1"/>
    <col min="8197" max="8197" width="9.140625" style="232"/>
    <col min="8198" max="8198" width="13.28515625" style="232" customWidth="1"/>
    <col min="8199" max="8199" width="11.7109375" style="232" customWidth="1"/>
    <col min="8200" max="8448" width="9.140625" style="232"/>
    <col min="8449" max="8449" width="5.28515625" style="232" customWidth="1"/>
    <col min="8450" max="8450" width="57" style="232" customWidth="1"/>
    <col min="8451" max="8451" width="5" style="232" customWidth="1"/>
    <col min="8452" max="8452" width="7" style="232" customWidth="1"/>
    <col min="8453" max="8453" width="9.140625" style="232"/>
    <col min="8454" max="8454" width="13.28515625" style="232" customWidth="1"/>
    <col min="8455" max="8455" width="11.7109375" style="232" customWidth="1"/>
    <col min="8456" max="8704" width="9.140625" style="232"/>
    <col min="8705" max="8705" width="5.28515625" style="232" customWidth="1"/>
    <col min="8706" max="8706" width="57" style="232" customWidth="1"/>
    <col min="8707" max="8707" width="5" style="232" customWidth="1"/>
    <col min="8708" max="8708" width="7" style="232" customWidth="1"/>
    <col min="8709" max="8709" width="9.140625" style="232"/>
    <col min="8710" max="8710" width="13.28515625" style="232" customWidth="1"/>
    <col min="8711" max="8711" width="11.7109375" style="232" customWidth="1"/>
    <col min="8712" max="8960" width="9.140625" style="232"/>
    <col min="8961" max="8961" width="5.28515625" style="232" customWidth="1"/>
    <col min="8962" max="8962" width="57" style="232" customWidth="1"/>
    <col min="8963" max="8963" width="5" style="232" customWidth="1"/>
    <col min="8964" max="8964" width="7" style="232" customWidth="1"/>
    <col min="8965" max="8965" width="9.140625" style="232"/>
    <col min="8966" max="8966" width="13.28515625" style="232" customWidth="1"/>
    <col min="8967" max="8967" width="11.7109375" style="232" customWidth="1"/>
    <col min="8968" max="9216" width="9.140625" style="232"/>
    <col min="9217" max="9217" width="5.28515625" style="232" customWidth="1"/>
    <col min="9218" max="9218" width="57" style="232" customWidth="1"/>
    <col min="9219" max="9219" width="5" style="232" customWidth="1"/>
    <col min="9220" max="9220" width="7" style="232" customWidth="1"/>
    <col min="9221" max="9221" width="9.140625" style="232"/>
    <col min="9222" max="9222" width="13.28515625" style="232" customWidth="1"/>
    <col min="9223" max="9223" width="11.7109375" style="232" customWidth="1"/>
    <col min="9224" max="9472" width="9.140625" style="232"/>
    <col min="9473" max="9473" width="5.28515625" style="232" customWidth="1"/>
    <col min="9474" max="9474" width="57" style="232" customWidth="1"/>
    <col min="9475" max="9475" width="5" style="232" customWidth="1"/>
    <col min="9476" max="9476" width="7" style="232" customWidth="1"/>
    <col min="9477" max="9477" width="9.140625" style="232"/>
    <col min="9478" max="9478" width="13.28515625" style="232" customWidth="1"/>
    <col min="9479" max="9479" width="11.7109375" style="232" customWidth="1"/>
    <col min="9480" max="9728" width="9.140625" style="232"/>
    <col min="9729" max="9729" width="5.28515625" style="232" customWidth="1"/>
    <col min="9730" max="9730" width="57" style="232" customWidth="1"/>
    <col min="9731" max="9731" width="5" style="232" customWidth="1"/>
    <col min="9732" max="9732" width="7" style="232" customWidth="1"/>
    <col min="9733" max="9733" width="9.140625" style="232"/>
    <col min="9734" max="9734" width="13.28515625" style="232" customWidth="1"/>
    <col min="9735" max="9735" width="11.7109375" style="232" customWidth="1"/>
    <col min="9736" max="9984" width="9.140625" style="232"/>
    <col min="9985" max="9985" width="5.28515625" style="232" customWidth="1"/>
    <col min="9986" max="9986" width="57" style="232" customWidth="1"/>
    <col min="9987" max="9987" width="5" style="232" customWidth="1"/>
    <col min="9988" max="9988" width="7" style="232" customWidth="1"/>
    <col min="9989" max="9989" width="9.140625" style="232"/>
    <col min="9990" max="9990" width="13.28515625" style="232" customWidth="1"/>
    <col min="9991" max="9991" width="11.7109375" style="232" customWidth="1"/>
    <col min="9992" max="10240" width="9.140625" style="232"/>
    <col min="10241" max="10241" width="5.28515625" style="232" customWidth="1"/>
    <col min="10242" max="10242" width="57" style="232" customWidth="1"/>
    <col min="10243" max="10243" width="5" style="232" customWidth="1"/>
    <col min="10244" max="10244" width="7" style="232" customWidth="1"/>
    <col min="10245" max="10245" width="9.140625" style="232"/>
    <col min="10246" max="10246" width="13.28515625" style="232" customWidth="1"/>
    <col min="10247" max="10247" width="11.7109375" style="232" customWidth="1"/>
    <col min="10248" max="10496" width="9.140625" style="232"/>
    <col min="10497" max="10497" width="5.28515625" style="232" customWidth="1"/>
    <col min="10498" max="10498" width="57" style="232" customWidth="1"/>
    <col min="10499" max="10499" width="5" style="232" customWidth="1"/>
    <col min="10500" max="10500" width="7" style="232" customWidth="1"/>
    <col min="10501" max="10501" width="9.140625" style="232"/>
    <col min="10502" max="10502" width="13.28515625" style="232" customWidth="1"/>
    <col min="10503" max="10503" width="11.7109375" style="232" customWidth="1"/>
    <col min="10504" max="10752" width="9.140625" style="232"/>
    <col min="10753" max="10753" width="5.28515625" style="232" customWidth="1"/>
    <col min="10754" max="10754" width="57" style="232" customWidth="1"/>
    <col min="10755" max="10755" width="5" style="232" customWidth="1"/>
    <col min="10756" max="10756" width="7" style="232" customWidth="1"/>
    <col min="10757" max="10757" width="9.140625" style="232"/>
    <col min="10758" max="10758" width="13.28515625" style="232" customWidth="1"/>
    <col min="10759" max="10759" width="11.7109375" style="232" customWidth="1"/>
    <col min="10760" max="11008" width="9.140625" style="232"/>
    <col min="11009" max="11009" width="5.28515625" style="232" customWidth="1"/>
    <col min="11010" max="11010" width="57" style="232" customWidth="1"/>
    <col min="11011" max="11011" width="5" style="232" customWidth="1"/>
    <col min="11012" max="11012" width="7" style="232" customWidth="1"/>
    <col min="11013" max="11013" width="9.140625" style="232"/>
    <col min="11014" max="11014" width="13.28515625" style="232" customWidth="1"/>
    <col min="11015" max="11015" width="11.7109375" style="232" customWidth="1"/>
    <col min="11016" max="11264" width="9.140625" style="232"/>
    <col min="11265" max="11265" width="5.28515625" style="232" customWidth="1"/>
    <col min="11266" max="11266" width="57" style="232" customWidth="1"/>
    <col min="11267" max="11267" width="5" style="232" customWidth="1"/>
    <col min="11268" max="11268" width="7" style="232" customWidth="1"/>
    <col min="11269" max="11269" width="9.140625" style="232"/>
    <col min="11270" max="11270" width="13.28515625" style="232" customWidth="1"/>
    <col min="11271" max="11271" width="11.7109375" style="232" customWidth="1"/>
    <col min="11272" max="11520" width="9.140625" style="232"/>
    <col min="11521" max="11521" width="5.28515625" style="232" customWidth="1"/>
    <col min="11522" max="11522" width="57" style="232" customWidth="1"/>
    <col min="11523" max="11523" width="5" style="232" customWidth="1"/>
    <col min="11524" max="11524" width="7" style="232" customWidth="1"/>
    <col min="11525" max="11525" width="9.140625" style="232"/>
    <col min="11526" max="11526" width="13.28515625" style="232" customWidth="1"/>
    <col min="11527" max="11527" width="11.7109375" style="232" customWidth="1"/>
    <col min="11528" max="11776" width="9.140625" style="232"/>
    <col min="11777" max="11777" width="5.28515625" style="232" customWidth="1"/>
    <col min="11778" max="11778" width="57" style="232" customWidth="1"/>
    <col min="11779" max="11779" width="5" style="232" customWidth="1"/>
    <col min="11780" max="11780" width="7" style="232" customWidth="1"/>
    <col min="11781" max="11781" width="9.140625" style="232"/>
    <col min="11782" max="11782" width="13.28515625" style="232" customWidth="1"/>
    <col min="11783" max="11783" width="11.7109375" style="232" customWidth="1"/>
    <col min="11784" max="12032" width="9.140625" style="232"/>
    <col min="12033" max="12033" width="5.28515625" style="232" customWidth="1"/>
    <col min="12034" max="12034" width="57" style="232" customWidth="1"/>
    <col min="12035" max="12035" width="5" style="232" customWidth="1"/>
    <col min="12036" max="12036" width="7" style="232" customWidth="1"/>
    <col min="12037" max="12037" width="9.140625" style="232"/>
    <col min="12038" max="12038" width="13.28515625" style="232" customWidth="1"/>
    <col min="12039" max="12039" width="11.7109375" style="232" customWidth="1"/>
    <col min="12040" max="12288" width="9.140625" style="232"/>
    <col min="12289" max="12289" width="5.28515625" style="232" customWidth="1"/>
    <col min="12290" max="12290" width="57" style="232" customWidth="1"/>
    <col min="12291" max="12291" width="5" style="232" customWidth="1"/>
    <col min="12292" max="12292" width="7" style="232" customWidth="1"/>
    <col min="12293" max="12293" width="9.140625" style="232"/>
    <col min="12294" max="12294" width="13.28515625" style="232" customWidth="1"/>
    <col min="12295" max="12295" width="11.7109375" style="232" customWidth="1"/>
    <col min="12296" max="12544" width="9.140625" style="232"/>
    <col min="12545" max="12545" width="5.28515625" style="232" customWidth="1"/>
    <col min="12546" max="12546" width="57" style="232" customWidth="1"/>
    <col min="12547" max="12547" width="5" style="232" customWidth="1"/>
    <col min="12548" max="12548" width="7" style="232" customWidth="1"/>
    <col min="12549" max="12549" width="9.140625" style="232"/>
    <col min="12550" max="12550" width="13.28515625" style="232" customWidth="1"/>
    <col min="12551" max="12551" width="11.7109375" style="232" customWidth="1"/>
    <col min="12552" max="12800" width="9.140625" style="232"/>
    <col min="12801" max="12801" width="5.28515625" style="232" customWidth="1"/>
    <col min="12802" max="12802" width="57" style="232" customWidth="1"/>
    <col min="12803" max="12803" width="5" style="232" customWidth="1"/>
    <col min="12804" max="12804" width="7" style="232" customWidth="1"/>
    <col min="12805" max="12805" width="9.140625" style="232"/>
    <col min="12806" max="12806" width="13.28515625" style="232" customWidth="1"/>
    <col min="12807" max="12807" width="11.7109375" style="232" customWidth="1"/>
    <col min="12808" max="13056" width="9.140625" style="232"/>
    <col min="13057" max="13057" width="5.28515625" style="232" customWidth="1"/>
    <col min="13058" max="13058" width="57" style="232" customWidth="1"/>
    <col min="13059" max="13059" width="5" style="232" customWidth="1"/>
    <col min="13060" max="13060" width="7" style="232" customWidth="1"/>
    <col min="13061" max="13061" width="9.140625" style="232"/>
    <col min="13062" max="13062" width="13.28515625" style="232" customWidth="1"/>
    <col min="13063" max="13063" width="11.7109375" style="232" customWidth="1"/>
    <col min="13064" max="13312" width="9.140625" style="232"/>
    <col min="13313" max="13313" width="5.28515625" style="232" customWidth="1"/>
    <col min="13314" max="13314" width="57" style="232" customWidth="1"/>
    <col min="13315" max="13315" width="5" style="232" customWidth="1"/>
    <col min="13316" max="13316" width="7" style="232" customWidth="1"/>
    <col min="13317" max="13317" width="9.140625" style="232"/>
    <col min="13318" max="13318" width="13.28515625" style="232" customWidth="1"/>
    <col min="13319" max="13319" width="11.7109375" style="232" customWidth="1"/>
    <col min="13320" max="13568" width="9.140625" style="232"/>
    <col min="13569" max="13569" width="5.28515625" style="232" customWidth="1"/>
    <col min="13570" max="13570" width="57" style="232" customWidth="1"/>
    <col min="13571" max="13571" width="5" style="232" customWidth="1"/>
    <col min="13572" max="13572" width="7" style="232" customWidth="1"/>
    <col min="13573" max="13573" width="9.140625" style="232"/>
    <col min="13574" max="13574" width="13.28515625" style="232" customWidth="1"/>
    <col min="13575" max="13575" width="11.7109375" style="232" customWidth="1"/>
    <col min="13576" max="13824" width="9.140625" style="232"/>
    <col min="13825" max="13825" width="5.28515625" style="232" customWidth="1"/>
    <col min="13826" max="13826" width="57" style="232" customWidth="1"/>
    <col min="13827" max="13827" width="5" style="232" customWidth="1"/>
    <col min="13828" max="13828" width="7" style="232" customWidth="1"/>
    <col min="13829" max="13829" width="9.140625" style="232"/>
    <col min="13830" max="13830" width="13.28515625" style="232" customWidth="1"/>
    <col min="13831" max="13831" width="11.7109375" style="232" customWidth="1"/>
    <col min="13832" max="14080" width="9.140625" style="232"/>
    <col min="14081" max="14081" width="5.28515625" style="232" customWidth="1"/>
    <col min="14082" max="14082" width="57" style="232" customWidth="1"/>
    <col min="14083" max="14083" width="5" style="232" customWidth="1"/>
    <col min="14084" max="14084" width="7" style="232" customWidth="1"/>
    <col min="14085" max="14085" width="9.140625" style="232"/>
    <col min="14086" max="14086" width="13.28515625" style="232" customWidth="1"/>
    <col min="14087" max="14087" width="11.7109375" style="232" customWidth="1"/>
    <col min="14088" max="14336" width="9.140625" style="232"/>
    <col min="14337" max="14337" width="5.28515625" style="232" customWidth="1"/>
    <col min="14338" max="14338" width="57" style="232" customWidth="1"/>
    <col min="14339" max="14339" width="5" style="232" customWidth="1"/>
    <col min="14340" max="14340" width="7" style="232" customWidth="1"/>
    <col min="14341" max="14341" width="9.140625" style="232"/>
    <col min="14342" max="14342" width="13.28515625" style="232" customWidth="1"/>
    <col min="14343" max="14343" width="11.7109375" style="232" customWidth="1"/>
    <col min="14344" max="14592" width="9.140625" style="232"/>
    <col min="14593" max="14593" width="5.28515625" style="232" customWidth="1"/>
    <col min="14594" max="14594" width="57" style="232" customWidth="1"/>
    <col min="14595" max="14595" width="5" style="232" customWidth="1"/>
    <col min="14596" max="14596" width="7" style="232" customWidth="1"/>
    <col min="14597" max="14597" width="9.140625" style="232"/>
    <col min="14598" max="14598" width="13.28515625" style="232" customWidth="1"/>
    <col min="14599" max="14599" width="11.7109375" style="232" customWidth="1"/>
    <col min="14600" max="14848" width="9.140625" style="232"/>
    <col min="14849" max="14849" width="5.28515625" style="232" customWidth="1"/>
    <col min="14850" max="14850" width="57" style="232" customWidth="1"/>
    <col min="14851" max="14851" width="5" style="232" customWidth="1"/>
    <col min="14852" max="14852" width="7" style="232" customWidth="1"/>
    <col min="14853" max="14853" width="9.140625" style="232"/>
    <col min="14854" max="14854" width="13.28515625" style="232" customWidth="1"/>
    <col min="14855" max="14855" width="11.7109375" style="232" customWidth="1"/>
    <col min="14856" max="15104" width="9.140625" style="232"/>
    <col min="15105" max="15105" width="5.28515625" style="232" customWidth="1"/>
    <col min="15106" max="15106" width="57" style="232" customWidth="1"/>
    <col min="15107" max="15107" width="5" style="232" customWidth="1"/>
    <col min="15108" max="15108" width="7" style="232" customWidth="1"/>
    <col min="15109" max="15109" width="9.140625" style="232"/>
    <col min="15110" max="15110" width="13.28515625" style="232" customWidth="1"/>
    <col min="15111" max="15111" width="11.7109375" style="232" customWidth="1"/>
    <col min="15112" max="15360" width="9.140625" style="232"/>
    <col min="15361" max="15361" width="5.28515625" style="232" customWidth="1"/>
    <col min="15362" max="15362" width="57" style="232" customWidth="1"/>
    <col min="15363" max="15363" width="5" style="232" customWidth="1"/>
    <col min="15364" max="15364" width="7" style="232" customWidth="1"/>
    <col min="15365" max="15365" width="9.140625" style="232"/>
    <col min="15366" max="15366" width="13.28515625" style="232" customWidth="1"/>
    <col min="15367" max="15367" width="11.7109375" style="232" customWidth="1"/>
    <col min="15368" max="15616" width="9.140625" style="232"/>
    <col min="15617" max="15617" width="5.28515625" style="232" customWidth="1"/>
    <col min="15618" max="15618" width="57" style="232" customWidth="1"/>
    <col min="15619" max="15619" width="5" style="232" customWidth="1"/>
    <col min="15620" max="15620" width="7" style="232" customWidth="1"/>
    <col min="15621" max="15621" width="9.140625" style="232"/>
    <col min="15622" max="15622" width="13.28515625" style="232" customWidth="1"/>
    <col min="15623" max="15623" width="11.7109375" style="232" customWidth="1"/>
    <col min="15624" max="15872" width="9.140625" style="232"/>
    <col min="15873" max="15873" width="5.28515625" style="232" customWidth="1"/>
    <col min="15874" max="15874" width="57" style="232" customWidth="1"/>
    <col min="15875" max="15875" width="5" style="232" customWidth="1"/>
    <col min="15876" max="15876" width="7" style="232" customWidth="1"/>
    <col min="15877" max="15877" width="9.140625" style="232"/>
    <col min="15878" max="15878" width="13.28515625" style="232" customWidth="1"/>
    <col min="15879" max="15879" width="11.7109375" style="232" customWidth="1"/>
    <col min="15880" max="16128" width="9.140625" style="232"/>
    <col min="16129" max="16129" width="5.28515625" style="232" customWidth="1"/>
    <col min="16130" max="16130" width="57" style="232" customWidth="1"/>
    <col min="16131" max="16131" width="5" style="232" customWidth="1"/>
    <col min="16132" max="16132" width="7" style="232" customWidth="1"/>
    <col min="16133" max="16133" width="9.140625" style="232"/>
    <col min="16134" max="16134" width="13.28515625" style="232" customWidth="1"/>
    <col min="16135" max="16135" width="11.7109375" style="232" customWidth="1"/>
    <col min="16136" max="16384" width="9.140625" style="232"/>
  </cols>
  <sheetData>
    <row r="1" spans="1:13" customFormat="1" ht="24.95" customHeight="1" x14ac:dyDescent="0.2">
      <c r="A1" s="899" t="s">
        <v>521</v>
      </c>
      <c r="B1" s="899"/>
      <c r="C1" s="899"/>
      <c r="D1" s="899"/>
      <c r="E1" s="899"/>
      <c r="F1" s="899"/>
      <c r="G1" s="899"/>
      <c r="H1" s="899"/>
      <c r="I1" s="899"/>
      <c r="J1" s="899"/>
      <c r="K1" s="899"/>
      <c r="L1" s="899"/>
    </row>
    <row r="2" spans="1:13" customFormat="1" ht="24.95" customHeight="1" x14ac:dyDescent="0.2">
      <c r="A2" s="900" t="s">
        <v>522</v>
      </c>
      <c r="B2" s="900"/>
      <c r="C2" s="900"/>
      <c r="D2" s="900"/>
      <c r="E2" s="900"/>
      <c r="F2" s="900"/>
      <c r="G2" s="900"/>
      <c r="H2" s="900"/>
      <c r="I2" s="900"/>
      <c r="J2" s="900"/>
      <c r="K2" s="900"/>
      <c r="L2" s="900"/>
    </row>
    <row r="3" spans="1:13" customFormat="1" ht="20.100000000000001" customHeight="1" x14ac:dyDescent="0.2">
      <c r="A3" s="536" t="s">
        <v>303</v>
      </c>
      <c r="B3" s="448" t="s">
        <v>302</v>
      </c>
      <c r="C3" s="448" t="s">
        <v>301</v>
      </c>
      <c r="D3" s="448" t="s">
        <v>300</v>
      </c>
      <c r="E3" s="448" t="s">
        <v>298</v>
      </c>
      <c r="F3" s="448" t="s">
        <v>297</v>
      </c>
      <c r="G3" s="448" t="s">
        <v>415</v>
      </c>
      <c r="H3" s="448" t="s">
        <v>47</v>
      </c>
      <c r="I3" s="448" t="s">
        <v>296</v>
      </c>
      <c r="J3" s="448" t="s">
        <v>21</v>
      </c>
      <c r="K3" s="448" t="s">
        <v>22</v>
      </c>
      <c r="L3" s="448" t="s">
        <v>295</v>
      </c>
    </row>
    <row r="4" spans="1:13" ht="17.100000000000001" customHeight="1" x14ac:dyDescent="0.2">
      <c r="A4" s="537">
        <v>1</v>
      </c>
      <c r="B4" s="538" t="s">
        <v>523</v>
      </c>
      <c r="C4" s="226"/>
      <c r="D4" s="539"/>
      <c r="E4" s="281"/>
      <c r="F4" s="281"/>
      <c r="G4" s="540"/>
      <c r="H4" s="540"/>
      <c r="I4" s="540"/>
      <c r="J4" s="540"/>
      <c r="K4" s="540"/>
      <c r="L4" s="1063" t="s">
        <v>524</v>
      </c>
    </row>
    <row r="5" spans="1:13" ht="17.100000000000001" customHeight="1" x14ac:dyDescent="0.2">
      <c r="A5" s="537"/>
      <c r="B5" s="541" t="s">
        <v>525</v>
      </c>
      <c r="C5" s="226" t="s">
        <v>35</v>
      </c>
      <c r="D5" s="542">
        <v>11.43</v>
      </c>
      <c r="E5" s="543"/>
      <c r="F5" s="543"/>
      <c r="G5" s="544"/>
      <c r="H5" s="545"/>
      <c r="I5" s="540"/>
      <c r="J5" s="540"/>
      <c r="K5" s="540"/>
      <c r="L5" s="1064"/>
    </row>
    <row r="6" spans="1:13" ht="17.100000000000001" customHeight="1" x14ac:dyDescent="0.2">
      <c r="A6" s="537"/>
      <c r="B6" s="541" t="s">
        <v>526</v>
      </c>
      <c r="C6" s="226" t="s">
        <v>33</v>
      </c>
      <c r="D6" s="543"/>
      <c r="E6" s="542">
        <v>11.43</v>
      </c>
      <c r="F6" s="543"/>
      <c r="G6" s="544"/>
      <c r="H6" s="545"/>
      <c r="I6" s="540"/>
      <c r="J6" s="540"/>
      <c r="K6" s="540"/>
      <c r="L6" s="1064"/>
    </row>
    <row r="7" spans="1:13" ht="17.100000000000001" customHeight="1" x14ac:dyDescent="0.2">
      <c r="A7" s="537"/>
      <c r="B7" s="541" t="s">
        <v>527</v>
      </c>
      <c r="C7" s="226" t="s">
        <v>33</v>
      </c>
      <c r="D7" s="543"/>
      <c r="E7" s="543"/>
      <c r="F7" s="543"/>
      <c r="G7" s="546">
        <v>0.8</v>
      </c>
      <c r="H7" s="545"/>
      <c r="I7" s="540"/>
      <c r="J7" s="540"/>
      <c r="K7" s="540"/>
      <c r="L7" s="1064"/>
    </row>
    <row r="8" spans="1:13" ht="17.100000000000001" customHeight="1" x14ac:dyDescent="0.2">
      <c r="A8" s="537"/>
      <c r="B8" s="541" t="s">
        <v>528</v>
      </c>
      <c r="C8" s="226" t="s">
        <v>33</v>
      </c>
      <c r="D8" s="543"/>
      <c r="E8" s="543"/>
      <c r="F8" s="542">
        <v>1</v>
      </c>
      <c r="G8" s="544"/>
      <c r="H8" s="545"/>
      <c r="I8" s="540"/>
      <c r="J8" s="540"/>
      <c r="K8" s="540"/>
      <c r="L8" s="1064"/>
    </row>
    <row r="9" spans="1:13" ht="17.100000000000001" customHeight="1" x14ac:dyDescent="0.2">
      <c r="A9" s="537"/>
      <c r="B9" s="541" t="s">
        <v>801</v>
      </c>
      <c r="C9" s="226" t="s">
        <v>35</v>
      </c>
      <c r="D9" s="543">
        <f>E6*F8</f>
        <v>11.43</v>
      </c>
      <c r="E9" s="543"/>
      <c r="F9" s="543"/>
      <c r="G9" s="544"/>
      <c r="H9" s="545"/>
      <c r="I9" s="540"/>
      <c r="J9" s="540"/>
      <c r="K9" s="540"/>
      <c r="L9" s="1064"/>
    </row>
    <row r="10" spans="1:13" ht="17.100000000000001" customHeight="1" x14ac:dyDescent="0.2">
      <c r="A10" s="537"/>
      <c r="B10" s="541" t="s">
        <v>802</v>
      </c>
      <c r="C10" s="226" t="s">
        <v>33</v>
      </c>
      <c r="D10" s="543"/>
      <c r="E10" s="543"/>
      <c r="F10" s="543"/>
      <c r="G10" s="542">
        <v>0.4</v>
      </c>
      <c r="H10" s="545"/>
      <c r="I10" s="540"/>
      <c r="J10" s="540"/>
      <c r="K10" s="540"/>
      <c r="L10" s="1064"/>
    </row>
    <row r="11" spans="1:13" ht="17.100000000000001" customHeight="1" x14ac:dyDescent="0.2">
      <c r="A11" s="537"/>
      <c r="B11" s="541" t="s">
        <v>529</v>
      </c>
      <c r="C11" s="226" t="s">
        <v>416</v>
      </c>
      <c r="D11" s="539">
        <f>D9*G10</f>
        <v>4.5720000000000001</v>
      </c>
      <c r="E11" s="281"/>
      <c r="F11" s="281"/>
      <c r="G11" s="540"/>
      <c r="H11" s="540"/>
      <c r="I11" s="540"/>
      <c r="J11" s="540"/>
      <c r="K11" s="540"/>
      <c r="L11" s="1065"/>
    </row>
    <row r="12" spans="1:13" ht="17.100000000000001" customHeight="1" x14ac:dyDescent="0.2">
      <c r="A12" s="537"/>
      <c r="B12" s="538"/>
      <c r="C12" s="226"/>
      <c r="D12" s="539"/>
      <c r="E12" s="281"/>
      <c r="F12" s="281"/>
      <c r="G12" s="540"/>
      <c r="H12" s="540"/>
      <c r="I12" s="540"/>
      <c r="J12" s="540"/>
      <c r="K12" s="540"/>
      <c r="L12" s="540"/>
    </row>
    <row r="13" spans="1:13" ht="17.100000000000001" customHeight="1" x14ac:dyDescent="0.2">
      <c r="A13" s="226" t="s">
        <v>6</v>
      </c>
      <c r="B13" s="553" t="s">
        <v>305</v>
      </c>
      <c r="C13" s="537" t="s">
        <v>10</v>
      </c>
      <c r="D13" s="549">
        <f>J29</f>
        <v>10.76</v>
      </c>
      <c r="E13" s="281"/>
      <c r="F13" s="281"/>
      <c r="G13" s="266"/>
      <c r="H13" s="550"/>
      <c r="I13" s="540"/>
      <c r="J13" s="540"/>
      <c r="K13" s="540"/>
      <c r="L13" s="540"/>
    </row>
    <row r="14" spans="1:13" ht="17.100000000000001" customHeight="1" x14ac:dyDescent="0.2">
      <c r="A14" s="226"/>
      <c r="B14" s="551" t="s">
        <v>825</v>
      </c>
      <c r="C14" s="537" t="s">
        <v>33</v>
      </c>
      <c r="D14" s="283"/>
      <c r="E14" s="552">
        <v>12</v>
      </c>
      <c r="F14" s="539"/>
      <c r="G14" s="266"/>
      <c r="H14" s="550"/>
      <c r="I14" s="540"/>
      <c r="J14" s="540"/>
      <c r="K14" s="540"/>
      <c r="L14" s="540"/>
      <c r="M14" s="706" t="s">
        <v>809</v>
      </c>
    </row>
    <row r="15" spans="1:13" ht="17.100000000000001" customHeight="1" x14ac:dyDescent="0.2">
      <c r="A15" s="226"/>
      <c r="B15" s="551" t="s">
        <v>804</v>
      </c>
      <c r="C15" s="537" t="s">
        <v>33</v>
      </c>
      <c r="D15" s="283"/>
      <c r="E15" s="539"/>
      <c r="F15" s="552">
        <v>1</v>
      </c>
      <c r="G15" s="266"/>
      <c r="H15" s="550"/>
      <c r="I15" s="540"/>
      <c r="J15" s="540"/>
      <c r="K15" s="540"/>
      <c r="L15" s="540"/>
      <c r="M15" s="706" t="s">
        <v>808</v>
      </c>
    </row>
    <row r="16" spans="1:13" ht="17.100000000000001" customHeight="1" x14ac:dyDescent="0.2">
      <c r="A16" s="226"/>
      <c r="B16" s="551" t="s">
        <v>807</v>
      </c>
      <c r="C16" s="537" t="s">
        <v>33</v>
      </c>
      <c r="D16" s="283"/>
      <c r="E16" s="539"/>
      <c r="G16" s="552">
        <v>0.8</v>
      </c>
      <c r="H16" s="550"/>
      <c r="I16" s="540"/>
      <c r="J16" s="540"/>
      <c r="K16" s="540"/>
      <c r="L16" s="540"/>
    </row>
    <row r="17" spans="1:13" ht="17.100000000000001" customHeight="1" x14ac:dyDescent="0.2">
      <c r="A17" s="226"/>
      <c r="B17" s="551" t="s">
        <v>592</v>
      </c>
      <c r="C17" s="537" t="s">
        <v>7</v>
      </c>
      <c r="D17" s="283">
        <f>E14+F15</f>
        <v>13</v>
      </c>
      <c r="E17" s="539"/>
      <c r="F17" s="539"/>
      <c r="G17" s="266"/>
      <c r="H17" s="550"/>
      <c r="I17" s="540"/>
      <c r="J17" s="540"/>
      <c r="K17" s="540"/>
      <c r="L17" s="540"/>
    </row>
    <row r="18" spans="1:13" ht="17.100000000000001" customHeight="1" x14ac:dyDescent="0.2">
      <c r="A18" s="226"/>
      <c r="B18" s="551" t="s">
        <v>797</v>
      </c>
      <c r="C18" s="537" t="s">
        <v>10</v>
      </c>
      <c r="D18" s="232"/>
      <c r="E18" s="281"/>
      <c r="F18" s="281"/>
      <c r="G18" s="266"/>
      <c r="H18" s="550"/>
      <c r="I18" s="540"/>
      <c r="J18" s="549">
        <f>D17*G16</f>
        <v>10.4</v>
      </c>
      <c r="K18" s="537" t="s">
        <v>10</v>
      </c>
      <c r="L18" s="550" t="s">
        <v>816</v>
      </c>
    </row>
    <row r="19" spans="1:13" ht="17.100000000000001" customHeight="1" x14ac:dyDescent="0.2">
      <c r="A19" s="226"/>
      <c r="B19" s="551"/>
      <c r="C19" s="537"/>
      <c r="D19" s="543"/>
      <c r="E19" s="281"/>
      <c r="F19" s="281"/>
      <c r="G19" s="266"/>
      <c r="H19" s="550"/>
      <c r="I19" s="540"/>
      <c r="J19" s="540"/>
      <c r="K19" s="540"/>
      <c r="L19" s="540"/>
    </row>
    <row r="20" spans="1:13" ht="17.100000000000001" customHeight="1" x14ac:dyDescent="0.2">
      <c r="A20" s="226" t="s">
        <v>420</v>
      </c>
      <c r="B20" s="548" t="s">
        <v>533</v>
      </c>
      <c r="C20" s="537"/>
      <c r="D20" s="543"/>
      <c r="E20" s="281"/>
      <c r="F20" s="281"/>
      <c r="G20" s="266"/>
      <c r="H20" s="550"/>
      <c r="I20" s="540"/>
      <c r="J20" s="540"/>
      <c r="K20" s="540"/>
      <c r="L20" s="540"/>
    </row>
    <row r="21" spans="1:13" ht="17.100000000000001" customHeight="1" x14ac:dyDescent="0.2">
      <c r="A21" s="226"/>
      <c r="B21" s="548" t="s">
        <v>305</v>
      </c>
      <c r="C21" s="537" t="s">
        <v>10</v>
      </c>
      <c r="D21" s="543"/>
      <c r="E21" s="281"/>
      <c r="F21" s="281"/>
      <c r="G21" s="266"/>
      <c r="H21" s="550"/>
      <c r="I21" s="540"/>
      <c r="J21" s="540"/>
      <c r="K21" s="540"/>
      <c r="L21" s="540"/>
    </row>
    <row r="22" spans="1:13" ht="17.100000000000001" customHeight="1" x14ac:dyDescent="0.2">
      <c r="A22" s="226"/>
      <c r="B22" s="551" t="s">
        <v>805</v>
      </c>
      <c r="C22" s="537" t="s">
        <v>33</v>
      </c>
      <c r="D22" s="543"/>
      <c r="E22" s="552">
        <v>6</v>
      </c>
      <c r="F22" s="539"/>
      <c r="G22" s="266"/>
      <c r="H22" s="550"/>
      <c r="I22" s="540"/>
      <c r="J22" s="540"/>
      <c r="K22" s="540"/>
      <c r="L22" s="540"/>
      <c r="M22" s="706" t="s">
        <v>803</v>
      </c>
    </row>
    <row r="23" spans="1:13" ht="17.100000000000001" customHeight="1" x14ac:dyDescent="0.2">
      <c r="A23" s="226"/>
      <c r="B23" s="551" t="s">
        <v>806</v>
      </c>
      <c r="C23" s="537" t="s">
        <v>33</v>
      </c>
      <c r="D23" s="543"/>
      <c r="E23" s="539"/>
      <c r="F23" s="552">
        <v>0.2</v>
      </c>
      <c r="G23" s="266"/>
      <c r="H23" s="550"/>
      <c r="I23" s="540"/>
      <c r="J23" s="540"/>
      <c r="K23" s="540"/>
      <c r="L23" s="540"/>
    </row>
    <row r="24" spans="1:13" ht="17.100000000000001" customHeight="1" x14ac:dyDescent="0.2">
      <c r="A24" s="226"/>
      <c r="B24" s="551" t="s">
        <v>826</v>
      </c>
      <c r="C24" s="537" t="s">
        <v>33</v>
      </c>
      <c r="D24" s="543"/>
      <c r="E24" s="539"/>
      <c r="F24" s="539"/>
      <c r="G24" s="672">
        <v>0.3</v>
      </c>
      <c r="H24" s="550"/>
      <c r="I24" s="540"/>
      <c r="J24" s="540"/>
      <c r="K24" s="540"/>
      <c r="L24" s="540"/>
      <c r="M24" s="707" t="s">
        <v>827</v>
      </c>
    </row>
    <row r="25" spans="1:13" ht="17.100000000000001" customHeight="1" x14ac:dyDescent="0.2">
      <c r="A25" s="226"/>
      <c r="B25" s="551" t="s">
        <v>800</v>
      </c>
      <c r="C25" s="537" t="s">
        <v>7</v>
      </c>
      <c r="D25" s="543">
        <f>E22*F23</f>
        <v>1.2000000000000002</v>
      </c>
      <c r="E25" s="539"/>
      <c r="F25" s="539"/>
      <c r="G25" s="452"/>
      <c r="H25" s="550"/>
      <c r="I25" s="540"/>
      <c r="J25" s="540"/>
      <c r="K25" s="540"/>
      <c r="L25" s="540"/>
    </row>
    <row r="26" spans="1:13" ht="17.100000000000001" customHeight="1" x14ac:dyDescent="0.2">
      <c r="A26" s="226"/>
      <c r="B26" s="551"/>
      <c r="C26" s="537"/>
      <c r="D26" s="543"/>
      <c r="E26" s="539"/>
      <c r="F26" s="539"/>
      <c r="G26" s="452"/>
      <c r="H26" s="550"/>
      <c r="I26" s="540"/>
      <c r="J26" s="540"/>
      <c r="K26" s="540"/>
      <c r="L26" s="540"/>
    </row>
    <row r="27" spans="1:13" ht="17.100000000000001" customHeight="1" x14ac:dyDescent="0.2">
      <c r="A27" s="226"/>
      <c r="B27" s="551" t="s">
        <v>798</v>
      </c>
      <c r="C27" s="537" t="s">
        <v>10</v>
      </c>
      <c r="D27" s="232"/>
      <c r="E27" s="281"/>
      <c r="F27" s="281"/>
      <c r="G27" s="266"/>
      <c r="H27" s="550"/>
      <c r="I27" s="540"/>
      <c r="J27" s="555">
        <f>D25*G24</f>
        <v>0.36000000000000004</v>
      </c>
      <c r="K27" s="537" t="s">
        <v>10</v>
      </c>
      <c r="L27" s="550" t="s">
        <v>823</v>
      </c>
    </row>
    <row r="28" spans="1:13" ht="17.100000000000001" customHeight="1" x14ac:dyDescent="0.2">
      <c r="A28" s="226"/>
      <c r="B28" s="551"/>
      <c r="C28" s="537"/>
      <c r="D28" s="283"/>
      <c r="E28" s="281"/>
      <c r="F28" s="281"/>
      <c r="G28" s="266"/>
      <c r="H28" s="550"/>
      <c r="I28" s="540"/>
      <c r="J28" s="540"/>
      <c r="K28" s="540"/>
      <c r="L28" s="540"/>
    </row>
    <row r="29" spans="1:13" ht="17.100000000000001" customHeight="1" x14ac:dyDescent="0.2">
      <c r="A29" s="226"/>
      <c r="B29" s="700" t="s">
        <v>799</v>
      </c>
      <c r="C29" s="537"/>
      <c r="D29" s="283"/>
      <c r="E29" s="281"/>
      <c r="F29" s="281"/>
      <c r="G29" s="266"/>
      <c r="H29" s="550"/>
      <c r="I29" s="540"/>
      <c r="J29" s="549">
        <f>J18+J27</f>
        <v>10.76</v>
      </c>
      <c r="K29" s="537" t="s">
        <v>10</v>
      </c>
      <c r="L29" s="540"/>
    </row>
    <row r="30" spans="1:13" ht="17.100000000000001" customHeight="1" x14ac:dyDescent="0.2">
      <c r="A30" s="226"/>
      <c r="B30" s="548"/>
      <c r="C30" s="226"/>
      <c r="D30" s="283"/>
      <c r="E30" s="281"/>
      <c r="F30" s="281"/>
      <c r="G30" s="266"/>
      <c r="H30" s="550"/>
      <c r="I30" s="540"/>
      <c r="J30" s="540"/>
      <c r="K30" s="540"/>
      <c r="L30" s="540"/>
    </row>
    <row r="31" spans="1:13" ht="17.100000000000001" customHeight="1" x14ac:dyDescent="0.2">
      <c r="A31" s="226" t="s">
        <v>8</v>
      </c>
      <c r="B31" s="554" t="s">
        <v>821</v>
      </c>
      <c r="C31" s="537" t="s">
        <v>10</v>
      </c>
      <c r="D31" s="555">
        <f>J36</f>
        <v>4.8000000000000007</v>
      </c>
      <c r="E31" s="281"/>
      <c r="F31" s="281"/>
      <c r="G31" s="556"/>
      <c r="H31" s="540"/>
      <c r="I31" s="540"/>
      <c r="J31" s="540"/>
      <c r="K31" s="540"/>
      <c r="L31" s="557" t="s">
        <v>535</v>
      </c>
    </row>
    <row r="32" spans="1:13" ht="17.100000000000001" customHeight="1" x14ac:dyDescent="0.2">
      <c r="A32" s="226"/>
      <c r="B32" s="551" t="s">
        <v>825</v>
      </c>
      <c r="C32" s="537" t="s">
        <v>33</v>
      </c>
      <c r="D32" s="283"/>
      <c r="E32" s="539">
        <f>E14</f>
        <v>12</v>
      </c>
      <c r="F32" s="539"/>
      <c r="G32" s="556"/>
      <c r="H32" s="540"/>
      <c r="I32" s="540"/>
      <c r="J32" s="540"/>
      <c r="K32" s="540"/>
      <c r="L32" s="540"/>
    </row>
    <row r="33" spans="1:13" ht="17.100000000000001" customHeight="1" x14ac:dyDescent="0.2">
      <c r="A33" s="226"/>
      <c r="B33" s="551" t="s">
        <v>804</v>
      </c>
      <c r="C33" s="537" t="s">
        <v>33</v>
      </c>
      <c r="D33" s="283"/>
      <c r="E33" s="539"/>
      <c r="F33" s="539">
        <f>F15</f>
        <v>1</v>
      </c>
      <c r="G33" s="556"/>
      <c r="H33" s="540"/>
      <c r="I33" s="540"/>
      <c r="J33" s="540"/>
      <c r="K33" s="540"/>
      <c r="L33" s="540"/>
    </row>
    <row r="34" spans="1:13" ht="17.100000000000001" customHeight="1" x14ac:dyDescent="0.2">
      <c r="A34" s="226"/>
      <c r="B34" s="541" t="s">
        <v>824</v>
      </c>
      <c r="C34" s="537" t="s">
        <v>33</v>
      </c>
      <c r="D34" s="283"/>
      <c r="E34" s="539"/>
      <c r="F34" s="539">
        <f>G10</f>
        <v>0.4</v>
      </c>
      <c r="G34" s="556"/>
      <c r="H34" s="540"/>
      <c r="I34" s="540"/>
      <c r="J34" s="540"/>
      <c r="K34" s="540"/>
      <c r="L34" s="540"/>
    </row>
    <row r="35" spans="1:13" ht="17.100000000000001" customHeight="1" x14ac:dyDescent="0.2">
      <c r="A35" s="226"/>
      <c r="B35" s="541" t="s">
        <v>529</v>
      </c>
      <c r="C35" s="537" t="s">
        <v>10</v>
      </c>
      <c r="D35" s="543">
        <f>F33*F34*E32</f>
        <v>4.8000000000000007</v>
      </c>
      <c r="E35" s="539"/>
      <c r="F35" s="539"/>
      <c r="G35" s="556"/>
      <c r="H35" s="540"/>
      <c r="I35" s="540"/>
      <c r="J35" s="540"/>
      <c r="K35" s="540"/>
      <c r="L35" s="540"/>
    </row>
    <row r="36" spans="1:13" ht="17.100000000000001" customHeight="1" x14ac:dyDescent="0.2">
      <c r="A36" s="226"/>
      <c r="B36" s="700" t="s">
        <v>21</v>
      </c>
      <c r="C36" s="226"/>
      <c r="D36" s="283"/>
      <c r="E36" s="281"/>
      <c r="F36" s="281"/>
      <c r="G36" s="556"/>
      <c r="H36" s="540"/>
      <c r="I36" s="540"/>
      <c r="J36" s="549">
        <f>D35</f>
        <v>4.8000000000000007</v>
      </c>
      <c r="K36" s="537" t="s">
        <v>10</v>
      </c>
      <c r="L36" s="540"/>
    </row>
    <row r="37" spans="1:13" ht="17.100000000000001" customHeight="1" x14ac:dyDescent="0.2">
      <c r="A37" s="226"/>
      <c r="B37" s="700"/>
      <c r="C37" s="226"/>
      <c r="D37" s="283"/>
      <c r="E37" s="281"/>
      <c r="F37" s="281"/>
      <c r="G37" s="556"/>
      <c r="H37" s="540"/>
      <c r="I37" s="540"/>
      <c r="J37" s="549"/>
      <c r="K37" s="537"/>
      <c r="L37" s="540"/>
    </row>
    <row r="38" spans="1:13" ht="17.100000000000001" customHeight="1" x14ac:dyDescent="0.2">
      <c r="A38" s="226" t="s">
        <v>23</v>
      </c>
      <c r="B38" s="554" t="s">
        <v>220</v>
      </c>
      <c r="C38" s="537" t="s">
        <v>7</v>
      </c>
      <c r="D38" s="555">
        <f>J42</f>
        <v>18</v>
      </c>
      <c r="E38" s="540"/>
      <c r="F38" s="540"/>
      <c r="G38" s="266"/>
      <c r="H38" s="544">
        <v>1</v>
      </c>
      <c r="I38" s="545"/>
      <c r="J38" s="545"/>
      <c r="K38" s="540"/>
      <c r="L38" s="540"/>
    </row>
    <row r="39" spans="1:13" ht="17.100000000000001" customHeight="1" x14ac:dyDescent="0.2">
      <c r="A39" s="226"/>
      <c r="B39" s="551" t="s">
        <v>536</v>
      </c>
      <c r="C39" s="537" t="s">
        <v>33</v>
      </c>
      <c r="D39" s="283"/>
      <c r="E39" s="478">
        <f>E14</f>
        <v>12</v>
      </c>
      <c r="F39" s="543"/>
      <c r="G39" s="266"/>
      <c r="H39" s="544">
        <v>1</v>
      </c>
      <c r="I39" s="545"/>
      <c r="J39" s="545"/>
      <c r="K39" s="540"/>
      <c r="L39" s="540"/>
    </row>
    <row r="40" spans="1:13" ht="17.100000000000001" customHeight="1" x14ac:dyDescent="0.2">
      <c r="A40" s="226"/>
      <c r="B40" s="551" t="s">
        <v>149</v>
      </c>
      <c r="C40" s="537" t="s">
        <v>33</v>
      </c>
      <c r="D40" s="283"/>
      <c r="E40" s="452"/>
      <c r="F40" s="543">
        <f>F15+(F15/2)</f>
        <v>1.5</v>
      </c>
      <c r="G40" s="266"/>
      <c r="H40" s="545"/>
      <c r="I40" s="545"/>
      <c r="J40" s="545"/>
      <c r="K40" s="540"/>
      <c r="L40" s="562"/>
    </row>
    <row r="41" spans="1:13" ht="17.100000000000001" customHeight="1" x14ac:dyDescent="0.2">
      <c r="A41" s="226"/>
      <c r="B41" s="541" t="s">
        <v>512</v>
      </c>
      <c r="C41" s="537" t="s">
        <v>7</v>
      </c>
      <c r="D41" s="283">
        <f>E39*F40</f>
        <v>18</v>
      </c>
      <c r="E41" s="293"/>
      <c r="F41" s="281"/>
      <c r="G41" s="266"/>
      <c r="H41" s="545"/>
      <c r="I41" s="545"/>
      <c r="J41" s="543"/>
      <c r="K41" s="540"/>
      <c r="L41" s="540"/>
      <c r="M41" s="707" t="s">
        <v>811</v>
      </c>
    </row>
    <row r="42" spans="1:13" ht="17.100000000000001" customHeight="1" x14ac:dyDescent="0.2">
      <c r="A42" s="226"/>
      <c r="B42" s="553" t="s">
        <v>21</v>
      </c>
      <c r="C42" s="226"/>
      <c r="D42" s="283"/>
      <c r="E42" s="293"/>
      <c r="F42" s="281"/>
      <c r="G42" s="266"/>
      <c r="H42" s="540"/>
      <c r="I42" s="540"/>
      <c r="J42" s="543">
        <f>D41</f>
        <v>18</v>
      </c>
      <c r="K42" s="226" t="s">
        <v>7</v>
      </c>
      <c r="L42" s="540"/>
    </row>
    <row r="43" spans="1:13" ht="17.100000000000001" customHeight="1" x14ac:dyDescent="0.2">
      <c r="A43" s="226"/>
      <c r="B43" s="553"/>
      <c r="C43" s="226"/>
      <c r="D43" s="283"/>
      <c r="E43" s="293"/>
      <c r="F43" s="281"/>
      <c r="G43" s="266"/>
      <c r="H43" s="540"/>
      <c r="I43" s="540"/>
      <c r="J43" s="543"/>
      <c r="K43" s="226"/>
      <c r="L43" s="540"/>
    </row>
    <row r="44" spans="1:13" ht="17.100000000000001" customHeight="1" x14ac:dyDescent="0.2">
      <c r="A44" s="226"/>
      <c r="B44" s="554"/>
      <c r="C44" s="226"/>
      <c r="D44" s="283"/>
      <c r="E44" s="281"/>
      <c r="F44" s="281"/>
      <c r="G44" s="556"/>
      <c r="H44" s="540"/>
      <c r="I44" s="540"/>
      <c r="J44" s="540"/>
      <c r="K44" s="540"/>
      <c r="L44" s="540"/>
    </row>
    <row r="45" spans="1:13" ht="17.100000000000001" customHeight="1" x14ac:dyDescent="0.2">
      <c r="A45" s="226" t="s">
        <v>24</v>
      </c>
      <c r="B45" s="554" t="s">
        <v>547</v>
      </c>
      <c r="C45" s="537" t="s">
        <v>52</v>
      </c>
      <c r="D45" s="549">
        <f>J48</f>
        <v>4.8000000000000007</v>
      </c>
      <c r="E45" s="281"/>
      <c r="F45" s="281"/>
      <c r="G45" s="556"/>
      <c r="H45" s="550"/>
      <c r="I45" s="540"/>
      <c r="J45" s="540"/>
      <c r="K45" s="540"/>
      <c r="L45" s="550" t="s">
        <v>815</v>
      </c>
    </row>
    <row r="46" spans="1:13" ht="17.100000000000001" customHeight="1" x14ac:dyDescent="0.2">
      <c r="A46" s="226" t="s">
        <v>896</v>
      </c>
      <c r="B46" s="551" t="s">
        <v>814</v>
      </c>
      <c r="C46" s="537" t="s">
        <v>33</v>
      </c>
      <c r="D46" s="283"/>
      <c r="E46" s="539">
        <f>G7-G10</f>
        <v>0.4</v>
      </c>
      <c r="F46" s="281"/>
      <c r="G46" s="556"/>
      <c r="H46" s="550"/>
      <c r="I46" s="540"/>
      <c r="J46" s="540"/>
      <c r="K46" s="540"/>
      <c r="L46" s="540"/>
    </row>
    <row r="47" spans="1:13" ht="17.100000000000001" customHeight="1" x14ac:dyDescent="0.2">
      <c r="A47" s="226"/>
      <c r="B47" s="551" t="s">
        <v>812</v>
      </c>
      <c r="C47" s="537" t="s">
        <v>35</v>
      </c>
      <c r="D47" s="283">
        <f>E14</f>
        <v>12</v>
      </c>
      <c r="E47" s="281"/>
      <c r="F47" s="539"/>
      <c r="G47" s="556"/>
      <c r="H47" s="550"/>
      <c r="I47" s="540"/>
      <c r="J47" s="540"/>
      <c r="K47" s="540"/>
      <c r="L47" s="540"/>
    </row>
    <row r="48" spans="1:13" ht="17.100000000000001" customHeight="1" x14ac:dyDescent="0.2">
      <c r="A48" s="226"/>
      <c r="B48" s="551" t="s">
        <v>813</v>
      </c>
      <c r="C48" s="537" t="s">
        <v>52</v>
      </c>
      <c r="D48" s="232"/>
      <c r="E48" s="539"/>
      <c r="F48" s="539"/>
      <c r="G48" s="556"/>
      <c r="H48" s="550"/>
      <c r="I48" s="540"/>
      <c r="J48" s="555">
        <f>D47*E46</f>
        <v>4.8000000000000007</v>
      </c>
      <c r="K48" s="537" t="s">
        <v>52</v>
      </c>
      <c r="L48" s="550" t="s">
        <v>816</v>
      </c>
    </row>
    <row r="49" spans="1:14" ht="17.100000000000001" customHeight="1" x14ac:dyDescent="0.2">
      <c r="A49" s="226"/>
      <c r="B49" s="551"/>
      <c r="C49" s="537"/>
      <c r="D49" s="283"/>
      <c r="E49" s="539"/>
      <c r="F49" s="539"/>
      <c r="G49" s="556"/>
      <c r="H49" s="550"/>
      <c r="I49" s="540"/>
      <c r="J49" s="540"/>
      <c r="K49" s="540"/>
      <c r="L49" s="540"/>
    </row>
    <row r="50" spans="1:14" ht="17.100000000000001" customHeight="1" x14ac:dyDescent="0.2">
      <c r="A50" s="226" t="s">
        <v>897</v>
      </c>
      <c r="B50" s="551" t="s">
        <v>818</v>
      </c>
      <c r="C50" s="537" t="s">
        <v>33</v>
      </c>
      <c r="D50" s="283">
        <f>J27</f>
        <v>0.36000000000000004</v>
      </c>
      <c r="E50" s="539"/>
      <c r="F50" s="281"/>
      <c r="G50" s="556"/>
      <c r="H50" s="550"/>
      <c r="I50" s="540"/>
      <c r="J50" s="540"/>
      <c r="K50" s="540"/>
      <c r="L50" s="540"/>
    </row>
    <row r="51" spans="1:14" ht="17.100000000000001" customHeight="1" x14ac:dyDescent="0.2">
      <c r="A51" s="226"/>
      <c r="B51" s="551" t="s">
        <v>817</v>
      </c>
      <c r="C51" s="537" t="s">
        <v>33</v>
      </c>
      <c r="D51" s="283"/>
      <c r="E51" s="539">
        <f>G24</f>
        <v>0.3</v>
      </c>
      <c r="F51" s="281"/>
      <c r="G51" s="556"/>
      <c r="H51" s="550"/>
      <c r="I51" s="540"/>
      <c r="J51" s="540"/>
      <c r="K51" s="540"/>
      <c r="L51" s="540"/>
    </row>
    <row r="52" spans="1:14" ht="17.100000000000001" customHeight="1" x14ac:dyDescent="0.2">
      <c r="A52" s="226"/>
      <c r="B52" s="551" t="s">
        <v>819</v>
      </c>
      <c r="C52" s="537" t="s">
        <v>35</v>
      </c>
      <c r="D52" s="283">
        <f>D25</f>
        <v>1.2000000000000002</v>
      </c>
      <c r="E52" s="281"/>
      <c r="F52" s="539"/>
      <c r="G52" s="556"/>
      <c r="H52" s="550"/>
      <c r="I52" s="540"/>
      <c r="J52" s="540"/>
      <c r="K52" s="540"/>
      <c r="L52" s="540"/>
    </row>
    <row r="53" spans="1:14" s="234" customFormat="1" ht="14.25" x14ac:dyDescent="0.2">
      <c r="A53" s="226"/>
      <c r="B53" s="551" t="s">
        <v>820</v>
      </c>
      <c r="C53" s="537" t="s">
        <v>52</v>
      </c>
      <c r="D53" s="708">
        <f>J27</f>
        <v>0.36000000000000004</v>
      </c>
      <c r="E53" s="539"/>
      <c r="F53" s="539"/>
      <c r="G53" s="556"/>
      <c r="H53" s="550"/>
      <c r="I53" s="540"/>
      <c r="J53" s="555">
        <f>D52*E51</f>
        <v>0.36000000000000004</v>
      </c>
      <c r="K53" s="537" t="s">
        <v>52</v>
      </c>
      <c r="L53" s="550" t="s">
        <v>823</v>
      </c>
      <c r="N53" s="234" t="s">
        <v>830</v>
      </c>
    </row>
    <row r="54" spans="1:14" s="234" customFormat="1" ht="17.100000000000001" customHeight="1" x14ac:dyDescent="0.2">
      <c r="A54" s="226"/>
      <c r="B54" s="551"/>
      <c r="C54" s="537"/>
      <c r="D54" s="283"/>
      <c r="E54" s="539"/>
      <c r="F54" s="539"/>
      <c r="G54" s="556"/>
      <c r="H54" s="550"/>
      <c r="I54" s="540"/>
      <c r="J54" s="540"/>
      <c r="K54" s="540"/>
      <c r="L54" s="540"/>
    </row>
    <row r="55" spans="1:14" s="234" customFormat="1" ht="14.25" x14ac:dyDescent="0.2">
      <c r="A55" s="226"/>
      <c r="B55" s="700" t="s">
        <v>822</v>
      </c>
      <c r="C55" s="537" t="s">
        <v>52</v>
      </c>
      <c r="D55" s="543"/>
      <c r="E55" s="281"/>
      <c r="F55" s="281"/>
      <c r="G55" s="556"/>
      <c r="H55" s="550"/>
      <c r="I55" s="540"/>
      <c r="J55" s="555">
        <f>J48+J53</f>
        <v>5.160000000000001</v>
      </c>
      <c r="K55" s="537" t="s">
        <v>52</v>
      </c>
      <c r="L55" s="540"/>
    </row>
    <row r="56" spans="1:14" ht="17.100000000000001" customHeight="1" x14ac:dyDescent="0.2">
      <c r="A56" s="226"/>
      <c r="B56" s="700"/>
      <c r="C56" s="537"/>
      <c r="D56" s="543"/>
      <c r="E56" s="281"/>
      <c r="F56" s="281"/>
      <c r="G56" s="556"/>
      <c r="H56" s="550"/>
      <c r="I56" s="540"/>
      <c r="J56" s="555"/>
      <c r="K56" s="537"/>
      <c r="L56" s="540"/>
    </row>
    <row r="57" spans="1:14" ht="17.100000000000001" customHeight="1" x14ac:dyDescent="0.2">
      <c r="A57" s="226"/>
      <c r="B57" s="553"/>
      <c r="C57" s="226"/>
      <c r="D57" s="283"/>
      <c r="E57" s="293"/>
      <c r="F57" s="281"/>
      <c r="G57" s="266"/>
      <c r="H57" s="540"/>
      <c r="I57" s="540"/>
      <c r="J57" s="543"/>
      <c r="K57" s="226"/>
      <c r="L57" s="540"/>
    </row>
    <row r="58" spans="1:14" ht="66.75" customHeight="1" x14ac:dyDescent="0.2">
      <c r="A58" s="537" t="s">
        <v>760</v>
      </c>
      <c r="B58" s="693" t="s">
        <v>765</v>
      </c>
      <c r="C58" s="695"/>
      <c r="D58" s="283"/>
      <c r="E58" s="293"/>
      <c r="F58" s="281"/>
      <c r="G58" s="266"/>
      <c r="H58" s="540"/>
      <c r="I58" s="540"/>
      <c r="J58" s="543"/>
      <c r="K58" s="226"/>
      <c r="L58" s="540"/>
    </row>
    <row r="59" spans="1:14" ht="17.100000000000001" customHeight="1" x14ac:dyDescent="0.2">
      <c r="A59" s="222" t="s">
        <v>25</v>
      </c>
      <c r="B59" s="613" t="s">
        <v>761</v>
      </c>
      <c r="C59" s="443"/>
      <c r="D59" s="449"/>
      <c r="E59" s="255"/>
      <c r="F59" s="258"/>
      <c r="G59" s="339"/>
      <c r="H59" s="258"/>
      <c r="I59" s="258"/>
      <c r="J59" s="222"/>
      <c r="K59" s="258"/>
      <c r="L59" s="453"/>
    </row>
    <row r="60" spans="1:14" ht="17.100000000000001" customHeight="1" x14ac:dyDescent="0.2">
      <c r="A60" s="222"/>
      <c r="B60" s="261" t="s">
        <v>766</v>
      </c>
      <c r="C60" s="491" t="s">
        <v>33</v>
      </c>
      <c r="D60" s="254"/>
      <c r="E60" s="255"/>
      <c r="F60" s="255">
        <v>0.09</v>
      </c>
      <c r="G60" s="339"/>
      <c r="H60" s="258"/>
      <c r="I60" s="258"/>
      <c r="J60" s="222"/>
      <c r="K60" s="258"/>
      <c r="L60" s="493" t="s">
        <v>490</v>
      </c>
    </row>
    <row r="61" spans="1:14" ht="17.100000000000001" customHeight="1" x14ac:dyDescent="0.2">
      <c r="A61" s="222"/>
      <c r="B61" s="261" t="s">
        <v>767</v>
      </c>
      <c r="C61" s="491" t="s">
        <v>33</v>
      </c>
      <c r="D61" s="254"/>
      <c r="E61" s="255"/>
      <c r="F61" s="255">
        <v>0.88</v>
      </c>
      <c r="G61" s="452"/>
      <c r="H61" s="258"/>
      <c r="I61" s="258"/>
      <c r="J61" s="222"/>
      <c r="K61" s="258"/>
      <c r="L61" s="651"/>
    </row>
    <row r="62" spans="1:14" ht="17.100000000000001" customHeight="1" x14ac:dyDescent="0.2">
      <c r="A62" s="611"/>
      <c r="B62" s="261" t="s">
        <v>768</v>
      </c>
      <c r="C62" s="491" t="s">
        <v>33</v>
      </c>
      <c r="D62" s="254"/>
      <c r="E62" s="255"/>
      <c r="F62" s="255">
        <v>0.88</v>
      </c>
      <c r="G62" s="452"/>
      <c r="H62" s="258"/>
      <c r="I62" s="258"/>
      <c r="J62" s="222"/>
      <c r="K62" s="258"/>
      <c r="L62" s="651"/>
    </row>
    <row r="63" spans="1:14" ht="17.100000000000001" customHeight="1" x14ac:dyDescent="0.2">
      <c r="A63" s="611"/>
      <c r="B63" s="261" t="s">
        <v>762</v>
      </c>
      <c r="C63" s="491" t="s">
        <v>33</v>
      </c>
      <c r="D63" s="254"/>
      <c r="E63" s="255"/>
      <c r="F63" s="255"/>
      <c r="G63" s="452">
        <v>0.7</v>
      </c>
      <c r="H63" s="258"/>
      <c r="I63" s="258"/>
      <c r="J63" s="222"/>
      <c r="K63" s="258"/>
      <c r="L63" s="248"/>
    </row>
    <row r="64" spans="1:14" ht="17.100000000000001" customHeight="1" x14ac:dyDescent="0.2">
      <c r="A64" s="611"/>
      <c r="B64" s="261" t="s">
        <v>763</v>
      </c>
      <c r="C64" s="648" t="s">
        <v>35</v>
      </c>
      <c r="D64" s="254">
        <f>F61*F62</f>
        <v>0.77439999999999998</v>
      </c>
      <c r="E64" s="255"/>
      <c r="F64" s="255"/>
      <c r="G64" s="452"/>
      <c r="H64" s="258"/>
      <c r="I64" s="258"/>
      <c r="J64" s="222"/>
      <c r="K64" s="258"/>
      <c r="L64" s="453" t="s">
        <v>769</v>
      </c>
    </row>
    <row r="65" spans="1:21" ht="17.100000000000001" customHeight="1" x14ac:dyDescent="0.2">
      <c r="A65" s="647"/>
      <c r="B65" s="612" t="s">
        <v>764</v>
      </c>
      <c r="C65" s="648" t="s">
        <v>416</v>
      </c>
      <c r="D65" s="374"/>
      <c r="E65" s="632"/>
      <c r="F65" s="632"/>
      <c r="G65" s="649"/>
      <c r="H65" s="650"/>
      <c r="I65" s="650"/>
      <c r="J65" s="696">
        <f>D64*G63</f>
        <v>0.5420799999999999</v>
      </c>
      <c r="K65" s="648" t="s">
        <v>416</v>
      </c>
      <c r="L65" s="613"/>
    </row>
    <row r="66" spans="1:21" ht="17.100000000000001" customHeight="1" x14ac:dyDescent="0.2">
      <c r="A66" s="647"/>
      <c r="B66" s="261"/>
      <c r="C66" s="648"/>
      <c r="D66" s="374"/>
      <c r="E66" s="632"/>
      <c r="F66" s="632"/>
      <c r="G66" s="649"/>
      <c r="H66" s="650"/>
      <c r="I66" s="650"/>
      <c r="J66" s="696"/>
      <c r="K66" s="648"/>
      <c r="L66" s="613"/>
    </row>
    <row r="67" spans="1:21" ht="17.100000000000001" customHeight="1" x14ac:dyDescent="0.2">
      <c r="A67" s="226" t="s">
        <v>898</v>
      </c>
      <c r="B67" s="554" t="s">
        <v>810</v>
      </c>
      <c r="C67" s="537" t="s">
        <v>10</v>
      </c>
      <c r="D67" s="555">
        <f>J72</f>
        <v>3.8720000000000004E-2</v>
      </c>
      <c r="E67" s="281"/>
      <c r="F67" s="281"/>
      <c r="G67" s="556"/>
      <c r="H67" s="540"/>
      <c r="I67" s="540"/>
      <c r="J67" s="540"/>
      <c r="K67" s="540"/>
      <c r="L67" s="557" t="s">
        <v>535</v>
      </c>
    </row>
    <row r="68" spans="1:21" x14ac:dyDescent="0.2">
      <c r="A68" s="226"/>
      <c r="B68" s="551" t="s">
        <v>536</v>
      </c>
      <c r="C68" s="537" t="s">
        <v>33</v>
      </c>
      <c r="D68" s="283"/>
      <c r="E68" s="539">
        <v>0.88</v>
      </c>
      <c r="F68" s="539"/>
      <c r="G68" s="556"/>
      <c r="H68" s="540"/>
      <c r="I68" s="540"/>
      <c r="J68" s="540"/>
      <c r="K68" s="540"/>
      <c r="L68" s="540"/>
    </row>
    <row r="69" spans="1:21" ht="17.100000000000001" customHeight="1" x14ac:dyDescent="0.2">
      <c r="A69" s="226"/>
      <c r="B69" s="551" t="s">
        <v>149</v>
      </c>
      <c r="C69" s="537" t="s">
        <v>33</v>
      </c>
      <c r="D69" s="283"/>
      <c r="E69" s="539"/>
      <c r="F69" s="539">
        <v>0.88</v>
      </c>
      <c r="G69" s="556"/>
      <c r="H69" s="540"/>
      <c r="I69" s="540"/>
      <c r="J69" s="540"/>
      <c r="K69" s="540"/>
      <c r="L69" s="540"/>
    </row>
    <row r="70" spans="1:21" ht="17.100000000000001" customHeight="1" x14ac:dyDescent="0.2">
      <c r="A70" s="226"/>
      <c r="B70" s="551" t="s">
        <v>98</v>
      </c>
      <c r="C70" s="537" t="s">
        <v>33</v>
      </c>
      <c r="D70" s="283"/>
      <c r="E70" s="539"/>
      <c r="F70" s="539"/>
      <c r="G70" s="556">
        <v>0.05</v>
      </c>
      <c r="H70" s="540"/>
      <c r="I70" s="540"/>
      <c r="J70" s="540"/>
      <c r="K70" s="540"/>
      <c r="L70" s="540"/>
    </row>
    <row r="71" spans="1:21" ht="17.100000000000001" customHeight="1" x14ac:dyDescent="0.2">
      <c r="A71" s="226"/>
      <c r="B71" s="551" t="s">
        <v>776</v>
      </c>
      <c r="C71" s="648" t="s">
        <v>35</v>
      </c>
      <c r="D71" s="283">
        <f>E68*F69</f>
        <v>0.77439999999999998</v>
      </c>
      <c r="E71" s="539"/>
      <c r="F71" s="539"/>
      <c r="G71" s="556"/>
      <c r="H71" s="540"/>
      <c r="I71" s="540"/>
      <c r="J71" s="540"/>
      <c r="K71" s="540"/>
      <c r="L71" s="540"/>
    </row>
    <row r="72" spans="1:21" ht="17.100000000000001" customHeight="1" x14ac:dyDescent="0.2">
      <c r="A72" s="226"/>
      <c r="B72" s="700" t="s">
        <v>673</v>
      </c>
      <c r="C72" s="537" t="s">
        <v>10</v>
      </c>
      <c r="D72" s="543"/>
      <c r="E72" s="539"/>
      <c r="F72" s="539"/>
      <c r="G72" s="556"/>
      <c r="H72" s="540"/>
      <c r="I72" s="540"/>
      <c r="J72" s="549">
        <f>D71*G70</f>
        <v>3.8720000000000004E-2</v>
      </c>
      <c r="K72" s="537" t="s">
        <v>10</v>
      </c>
      <c r="L72" s="540"/>
    </row>
    <row r="73" spans="1:21" ht="17.100000000000001" customHeight="1" x14ac:dyDescent="0.2">
      <c r="A73" s="226"/>
      <c r="B73" s="700"/>
      <c r="C73" s="537"/>
      <c r="D73" s="543"/>
      <c r="E73" s="539"/>
      <c r="F73" s="539"/>
      <c r="G73" s="556"/>
      <c r="H73" s="540"/>
      <c r="I73" s="540"/>
      <c r="J73" s="549"/>
      <c r="K73" s="537"/>
      <c r="L73" s="540"/>
    </row>
    <row r="74" spans="1:21" ht="17.100000000000001" customHeight="1" x14ac:dyDescent="0.2">
      <c r="A74" s="226"/>
      <c r="B74" s="700"/>
      <c r="C74" s="537"/>
      <c r="D74" s="543"/>
      <c r="E74" s="539"/>
      <c r="F74" s="539"/>
      <c r="G74" s="556"/>
      <c r="H74" s="540"/>
      <c r="I74" s="540"/>
      <c r="J74" s="549"/>
      <c r="K74" s="537"/>
      <c r="L74" s="540"/>
    </row>
    <row r="75" spans="1:21" ht="17.100000000000001" customHeight="1" x14ac:dyDescent="0.2">
      <c r="A75" s="222" t="s">
        <v>899</v>
      </c>
      <c r="B75" s="548" t="s">
        <v>841</v>
      </c>
      <c r="C75" s="718" t="s">
        <v>10</v>
      </c>
      <c r="D75" s="717">
        <f>J78</f>
        <v>3.8720000000000004E-2</v>
      </c>
      <c r="E75" s="714"/>
      <c r="F75" s="714"/>
      <c r="G75" s="715"/>
      <c r="H75" s="716"/>
      <c r="I75" s="716"/>
      <c r="J75" s="717"/>
      <c r="K75" s="713"/>
      <c r="L75" s="540"/>
    </row>
    <row r="76" spans="1:21" ht="17.100000000000001" customHeight="1" x14ac:dyDescent="0.2">
      <c r="A76" s="647"/>
      <c r="B76" s="261" t="s">
        <v>842</v>
      </c>
      <c r="C76" s="648" t="s">
        <v>35</v>
      </c>
      <c r="D76" s="374">
        <f>D85</f>
        <v>0.77439999999999998</v>
      </c>
      <c r="E76" s="632"/>
      <c r="F76" s="632"/>
      <c r="G76" s="649"/>
      <c r="H76" s="650"/>
      <c r="I76" s="650"/>
      <c r="J76" s="696"/>
      <c r="K76" s="648"/>
      <c r="L76" s="540"/>
    </row>
    <row r="77" spans="1:21" ht="17.100000000000001" customHeight="1" x14ac:dyDescent="0.2">
      <c r="A77" s="647"/>
      <c r="B77" s="261" t="s">
        <v>843</v>
      </c>
      <c r="C77" s="648" t="s">
        <v>33</v>
      </c>
      <c r="D77" s="374"/>
      <c r="E77" s="632"/>
      <c r="F77" s="632"/>
      <c r="G77" s="649">
        <v>0.05</v>
      </c>
      <c r="H77" s="650"/>
      <c r="I77" s="650"/>
      <c r="J77" s="696"/>
      <c r="K77" s="648"/>
      <c r="L77" s="540"/>
    </row>
    <row r="78" spans="1:21" ht="17.100000000000001" customHeight="1" x14ac:dyDescent="0.2">
      <c r="A78" s="647"/>
      <c r="B78" s="612" t="s">
        <v>844</v>
      </c>
      <c r="C78" s="718" t="s">
        <v>10</v>
      </c>
      <c r="D78" s="374"/>
      <c r="E78" s="632"/>
      <c r="F78" s="632"/>
      <c r="G78" s="649"/>
      <c r="H78" s="650"/>
      <c r="I78" s="650"/>
      <c r="J78" s="696">
        <f>D76*G77</f>
        <v>3.8720000000000004E-2</v>
      </c>
      <c r="K78" s="718" t="s">
        <v>10</v>
      </c>
      <c r="L78" s="540"/>
    </row>
    <row r="79" spans="1:21" ht="17.100000000000001" customHeight="1" x14ac:dyDescent="0.2">
      <c r="A79" s="226"/>
      <c r="B79" s="700"/>
      <c r="C79" s="537"/>
      <c r="D79" s="543"/>
      <c r="E79" s="539"/>
      <c r="F79" s="539"/>
      <c r="G79" s="556"/>
      <c r="H79" s="540"/>
      <c r="I79" s="540"/>
      <c r="J79" s="549"/>
      <c r="K79" s="537"/>
      <c r="L79" s="540"/>
    </row>
    <row r="80" spans="1:21" ht="17.100000000000001" customHeight="1" x14ac:dyDescent="0.2">
      <c r="A80" s="226"/>
      <c r="B80" s="553"/>
      <c r="C80" s="226"/>
      <c r="D80" s="283"/>
      <c r="E80" s="281"/>
      <c r="F80" s="281"/>
      <c r="G80" s="556"/>
      <c r="H80" s="540"/>
      <c r="I80" s="540"/>
      <c r="J80" s="543"/>
      <c r="K80" s="226"/>
      <c r="L80" s="540"/>
      <c r="N80" s="427"/>
      <c r="O80" s="901"/>
      <c r="P80" s="901"/>
      <c r="Q80" s="428"/>
      <c r="R80" s="703"/>
      <c r="S80" s="704"/>
      <c r="T80" s="704"/>
      <c r="U80" s="705"/>
    </row>
    <row r="81" spans="1:17" ht="33.75" customHeight="1" x14ac:dyDescent="0.2">
      <c r="A81" s="298" t="s">
        <v>900</v>
      </c>
      <c r="B81" s="701" t="s">
        <v>364</v>
      </c>
      <c r="C81" s="537" t="s">
        <v>10</v>
      </c>
      <c r="D81" s="702">
        <f>J86</f>
        <v>3.8720000000000004E-2</v>
      </c>
      <c r="E81" s="298"/>
      <c r="F81" s="341"/>
      <c r="G81" s="342"/>
      <c r="H81" s="342"/>
      <c r="I81" s="342"/>
      <c r="J81" s="343"/>
      <c r="K81" s="344"/>
      <c r="L81" s="613"/>
    </row>
    <row r="82" spans="1:17" ht="17.100000000000001" customHeight="1" x14ac:dyDescent="0.2">
      <c r="A82" s="647"/>
      <c r="B82" s="551" t="s">
        <v>536</v>
      </c>
      <c r="C82" s="537" t="s">
        <v>33</v>
      </c>
      <c r="D82" s="283"/>
      <c r="E82" s="539">
        <v>0.88</v>
      </c>
      <c r="F82" s="539"/>
      <c r="G82" s="556"/>
      <c r="H82" s="540"/>
      <c r="I82" s="540"/>
      <c r="J82" s="540"/>
      <c r="K82" s="540"/>
      <c r="L82" s="613"/>
    </row>
    <row r="83" spans="1:17" ht="17.100000000000001" customHeight="1" x14ac:dyDescent="0.2">
      <c r="A83" s="647"/>
      <c r="B83" s="551" t="s">
        <v>149</v>
      </c>
      <c r="C83" s="537" t="s">
        <v>33</v>
      </c>
      <c r="D83" s="283"/>
      <c r="E83" s="539"/>
      <c r="F83" s="539">
        <v>0.88</v>
      </c>
      <c r="G83" s="556"/>
      <c r="H83" s="540"/>
      <c r="I83" s="540"/>
      <c r="J83" s="540"/>
      <c r="K83" s="540"/>
      <c r="L83" s="613"/>
    </row>
    <row r="84" spans="1:17" ht="17.100000000000001" customHeight="1" x14ac:dyDescent="0.2">
      <c r="A84" s="647"/>
      <c r="B84" s="551" t="s">
        <v>98</v>
      </c>
      <c r="C84" s="537" t="s">
        <v>33</v>
      </c>
      <c r="D84" s="283"/>
      <c r="E84" s="539"/>
      <c r="F84" s="539"/>
      <c r="G84" s="556">
        <v>0.05</v>
      </c>
      <c r="H84" s="540"/>
      <c r="I84" s="540"/>
      <c r="J84" s="540"/>
      <c r="K84" s="540"/>
      <c r="L84" s="613"/>
    </row>
    <row r="85" spans="1:17" ht="17.100000000000001" customHeight="1" x14ac:dyDescent="0.2">
      <c r="A85" s="647"/>
      <c r="B85" s="551" t="s">
        <v>776</v>
      </c>
      <c r="C85" s="648" t="s">
        <v>35</v>
      </c>
      <c r="D85" s="283">
        <f>E82*F83</f>
        <v>0.77439999999999998</v>
      </c>
      <c r="E85" s="539"/>
      <c r="F85" s="539"/>
      <c r="G85" s="556"/>
      <c r="H85" s="540"/>
      <c r="I85" s="540"/>
      <c r="J85" s="540"/>
      <c r="K85" s="540"/>
      <c r="L85" s="613"/>
    </row>
    <row r="86" spans="1:17" ht="17.100000000000001" customHeight="1" x14ac:dyDescent="0.2">
      <c r="A86" s="222"/>
      <c r="B86" s="700" t="s">
        <v>673</v>
      </c>
      <c r="C86" s="718" t="s">
        <v>10</v>
      </c>
      <c r="D86" s="543"/>
      <c r="E86" s="539"/>
      <c r="F86" s="539"/>
      <c r="G86" s="556"/>
      <c r="H86" s="540"/>
      <c r="I86" s="540"/>
      <c r="J86" s="549">
        <f>D85*G84</f>
        <v>3.8720000000000004E-2</v>
      </c>
      <c r="K86" s="537" t="s">
        <v>10</v>
      </c>
      <c r="L86" s="613"/>
    </row>
    <row r="87" spans="1:17" ht="17.100000000000001" customHeight="1" x14ac:dyDescent="0.2">
      <c r="A87" s="540"/>
      <c r="B87" s="540"/>
      <c r="C87" s="537"/>
      <c r="D87" s="543"/>
      <c r="E87" s="539"/>
      <c r="F87" s="539"/>
      <c r="G87" s="556"/>
      <c r="H87" s="540"/>
      <c r="I87" s="540"/>
      <c r="J87" s="549"/>
      <c r="K87" s="537"/>
      <c r="L87" s="613"/>
    </row>
    <row r="88" spans="1:17" ht="17.100000000000001" customHeight="1" x14ac:dyDescent="0.2">
      <c r="A88" s="647"/>
      <c r="B88" s="261"/>
      <c r="C88" s="648"/>
      <c r="D88" s="374"/>
      <c r="E88" s="632"/>
      <c r="F88" s="632"/>
      <c r="G88" s="649"/>
      <c r="H88" s="650"/>
      <c r="I88" s="650"/>
      <c r="J88" s="696"/>
      <c r="K88" s="648"/>
      <c r="L88" s="613"/>
    </row>
    <row r="89" spans="1:17" ht="51.75" customHeight="1" x14ac:dyDescent="0.2">
      <c r="A89" s="222" t="s">
        <v>901</v>
      </c>
      <c r="B89" s="610" t="s">
        <v>375</v>
      </c>
      <c r="C89" s="443" t="s">
        <v>35</v>
      </c>
      <c r="D89" s="458">
        <f>J93</f>
        <v>1.2059999999999997</v>
      </c>
      <c r="E89" s="255"/>
      <c r="F89" s="255"/>
      <c r="G89" s="496"/>
      <c r="H89" s="222"/>
      <c r="I89" s="222"/>
      <c r="J89" s="458"/>
      <c r="K89" s="443"/>
      <c r="L89" s="613"/>
    </row>
    <row r="90" spans="1:17" ht="17.100000000000001" customHeight="1" x14ac:dyDescent="0.2">
      <c r="A90" s="222"/>
      <c r="B90" s="261" t="s">
        <v>770</v>
      </c>
      <c r="C90" s="491" t="s">
        <v>33</v>
      </c>
      <c r="D90" s="254"/>
      <c r="E90" s="255"/>
      <c r="F90" s="255">
        <v>0.73</v>
      </c>
      <c r="G90" s="452"/>
      <c r="H90" s="258"/>
      <c r="I90" s="258"/>
      <c r="J90" s="222"/>
      <c r="K90" s="258"/>
      <c r="L90" s="453" t="s">
        <v>772</v>
      </c>
      <c r="M90" s="566" t="s">
        <v>782</v>
      </c>
      <c r="N90" s="566"/>
      <c r="O90" s="566"/>
      <c r="P90" s="566"/>
      <c r="Q90" s="566"/>
    </row>
    <row r="91" spans="1:17" ht="17.100000000000001" customHeight="1" x14ac:dyDescent="0.2">
      <c r="A91" s="611"/>
      <c r="B91" s="261" t="s">
        <v>771</v>
      </c>
      <c r="C91" s="491" t="s">
        <v>33</v>
      </c>
      <c r="D91" s="254"/>
      <c r="E91" s="255"/>
      <c r="F91" s="255">
        <v>0.64</v>
      </c>
      <c r="G91" s="452"/>
      <c r="H91" s="258"/>
      <c r="I91" s="258"/>
      <c r="J91" s="222"/>
      <c r="K91" s="258"/>
      <c r="L91" s="453" t="s">
        <v>773</v>
      </c>
      <c r="M91" s="566"/>
      <c r="N91" s="566"/>
      <c r="O91" s="566"/>
      <c r="P91" s="566"/>
      <c r="Q91" s="566"/>
    </row>
    <row r="92" spans="1:17" ht="17.100000000000001" customHeight="1" x14ac:dyDescent="0.2">
      <c r="A92" s="222"/>
      <c r="B92" s="261" t="s">
        <v>777</v>
      </c>
      <c r="C92" s="222" t="s">
        <v>33</v>
      </c>
      <c r="D92" s="222"/>
      <c r="E92" s="255"/>
      <c r="F92" s="255"/>
      <c r="G92" s="454">
        <v>0.6</v>
      </c>
      <c r="H92" s="222"/>
      <c r="I92" s="222"/>
      <c r="J92" s="222"/>
      <c r="K92" s="222"/>
      <c r="L92" s="258" t="s">
        <v>781</v>
      </c>
      <c r="M92" s="566" t="s">
        <v>783</v>
      </c>
      <c r="N92" s="566"/>
      <c r="O92" s="566"/>
      <c r="P92" s="566"/>
      <c r="Q92" s="566"/>
    </row>
    <row r="93" spans="1:17" ht="17.100000000000001" customHeight="1" x14ac:dyDescent="0.2">
      <c r="A93" s="222"/>
      <c r="B93" s="612" t="s">
        <v>500</v>
      </c>
      <c r="C93" s="443" t="s">
        <v>35</v>
      </c>
      <c r="D93" s="454"/>
      <c r="E93" s="255"/>
      <c r="F93" s="255"/>
      <c r="G93" s="454"/>
      <c r="H93" s="222"/>
      <c r="I93" s="222"/>
      <c r="J93" s="458">
        <f>(F90+F91*2)*G92</f>
        <v>1.2059999999999997</v>
      </c>
      <c r="K93" s="443" t="s">
        <v>35</v>
      </c>
      <c r="L93" s="258"/>
      <c r="M93" s="566"/>
      <c r="N93" s="566"/>
      <c r="O93" s="566"/>
      <c r="P93" s="566"/>
      <c r="Q93" s="566"/>
    </row>
    <row r="94" spans="1:17" ht="17.100000000000001" customHeight="1" x14ac:dyDescent="0.2">
      <c r="A94" s="222"/>
      <c r="B94" s="540"/>
      <c r="C94" s="540"/>
      <c r="D94" s="540"/>
      <c r="E94" s="540"/>
      <c r="F94" s="540"/>
      <c r="G94" s="540"/>
      <c r="H94" s="540"/>
      <c r="I94" s="540"/>
      <c r="J94" s="540"/>
      <c r="K94" s="540"/>
      <c r="L94" s="258"/>
      <c r="M94" s="566"/>
      <c r="N94" s="566"/>
      <c r="O94" s="566"/>
      <c r="P94" s="566"/>
      <c r="Q94" s="566"/>
    </row>
    <row r="95" spans="1:17" ht="53.25" customHeight="1" x14ac:dyDescent="0.2">
      <c r="A95" s="222" t="s">
        <v>902</v>
      </c>
      <c r="B95" s="610" t="s">
        <v>494</v>
      </c>
      <c r="C95" s="443" t="s">
        <v>35</v>
      </c>
      <c r="D95" s="454"/>
      <c r="E95" s="255"/>
      <c r="F95" s="255"/>
      <c r="G95" s="454"/>
      <c r="H95" s="222"/>
      <c r="I95" s="222"/>
      <c r="J95" s="458"/>
      <c r="K95" s="443"/>
      <c r="L95" s="258"/>
      <c r="M95" s="566"/>
      <c r="N95" s="566"/>
      <c r="O95" s="566"/>
      <c r="P95" s="566"/>
      <c r="Q95" s="566"/>
    </row>
    <row r="96" spans="1:17" ht="17.100000000000001" customHeight="1" x14ac:dyDescent="0.2">
      <c r="B96" s="261" t="s">
        <v>770</v>
      </c>
      <c r="C96" s="491" t="s">
        <v>33</v>
      </c>
      <c r="D96" s="254"/>
      <c r="E96" s="255"/>
      <c r="F96" s="255">
        <v>0.78</v>
      </c>
      <c r="G96" s="452"/>
      <c r="H96" s="258"/>
      <c r="I96" s="258"/>
      <c r="J96" s="222"/>
      <c r="K96" s="258"/>
      <c r="L96" s="453" t="s">
        <v>779</v>
      </c>
      <c r="M96" s="566" t="s">
        <v>782</v>
      </c>
      <c r="N96" s="566"/>
      <c r="O96" s="566"/>
      <c r="P96" s="566"/>
      <c r="Q96" s="566"/>
    </row>
    <row r="97" spans="1:13" ht="17.100000000000001" customHeight="1" x14ac:dyDescent="0.2">
      <c r="A97" s="222"/>
      <c r="B97" s="261" t="s">
        <v>771</v>
      </c>
      <c r="C97" s="491" t="s">
        <v>33</v>
      </c>
      <c r="D97" s="254"/>
      <c r="E97" s="255"/>
      <c r="F97" s="255">
        <v>0.64</v>
      </c>
      <c r="G97" s="452"/>
      <c r="H97" s="258"/>
      <c r="I97" s="258"/>
      <c r="J97" s="222"/>
      <c r="K97" s="258"/>
      <c r="L97" s="453" t="s">
        <v>773</v>
      </c>
    </row>
    <row r="98" spans="1:13" ht="17.100000000000001" customHeight="1" x14ac:dyDescent="0.2">
      <c r="A98" s="222"/>
      <c r="B98" s="261" t="s">
        <v>778</v>
      </c>
      <c r="C98" s="222" t="s">
        <v>33</v>
      </c>
      <c r="D98" s="222"/>
      <c r="E98" s="255"/>
      <c r="F98" s="255"/>
      <c r="G98" s="454">
        <v>0.21</v>
      </c>
      <c r="H98" s="222"/>
      <c r="I98" s="222"/>
      <c r="J98" s="222"/>
      <c r="K98" s="222"/>
      <c r="L98" s="258" t="s">
        <v>780</v>
      </c>
      <c r="M98" s="566" t="s">
        <v>783</v>
      </c>
    </row>
    <row r="99" spans="1:13" ht="17.100000000000001" customHeight="1" x14ac:dyDescent="0.2">
      <c r="A99" s="222"/>
      <c r="B99" s="612" t="s">
        <v>500</v>
      </c>
      <c r="C99" s="443" t="s">
        <v>35</v>
      </c>
      <c r="D99" s="454"/>
      <c r="E99" s="255"/>
      <c r="F99" s="255"/>
      <c r="G99" s="454"/>
      <c r="H99" s="222"/>
      <c r="I99" s="222"/>
      <c r="J99" s="458">
        <f>(F96+F97*2)*G98</f>
        <v>0.43259999999999998</v>
      </c>
      <c r="K99" s="443" t="s">
        <v>35</v>
      </c>
      <c r="L99" s="258"/>
    </row>
    <row r="100" spans="1:13" ht="17.100000000000001" customHeight="1" x14ac:dyDescent="0.2">
      <c r="A100" s="222"/>
      <c r="B100" s="612"/>
      <c r="C100" s="443"/>
      <c r="D100" s="454"/>
      <c r="E100" s="255"/>
      <c r="F100" s="255"/>
      <c r="G100" s="454"/>
      <c r="H100" s="222"/>
      <c r="I100" s="222"/>
      <c r="J100" s="458"/>
      <c r="K100" s="443"/>
      <c r="L100" s="258"/>
    </row>
    <row r="101" spans="1:13" ht="46.5" customHeight="1" x14ac:dyDescent="0.2">
      <c r="A101" s="222" t="s">
        <v>903</v>
      </c>
      <c r="B101" s="586" t="s">
        <v>265</v>
      </c>
      <c r="C101" s="443" t="s">
        <v>35</v>
      </c>
      <c r="D101" s="449">
        <f>J115</f>
        <v>3.0076000000000001</v>
      </c>
      <c r="E101" s="255"/>
      <c r="F101" s="255"/>
      <c r="G101" s="454"/>
      <c r="H101" s="222"/>
      <c r="I101" s="222"/>
      <c r="J101" s="458"/>
      <c r="K101" s="443"/>
      <c r="L101" s="258"/>
    </row>
    <row r="102" spans="1:13" ht="17.100000000000001" customHeight="1" x14ac:dyDescent="0.2">
      <c r="A102" s="222"/>
      <c r="B102" s="261" t="s">
        <v>784</v>
      </c>
      <c r="C102" s="491" t="s">
        <v>33</v>
      </c>
      <c r="D102" s="454"/>
      <c r="E102" s="255">
        <f>F91*4</f>
        <v>2.56</v>
      </c>
      <c r="F102" s="255"/>
      <c r="G102" s="454"/>
      <c r="H102" s="222"/>
      <c r="I102" s="222"/>
      <c r="J102" s="458"/>
      <c r="K102" s="443"/>
      <c r="L102" s="258"/>
    </row>
    <row r="103" spans="1:13" ht="17.100000000000001" customHeight="1" x14ac:dyDescent="0.2">
      <c r="A103" s="222"/>
      <c r="B103" s="261" t="s">
        <v>789</v>
      </c>
      <c r="C103" s="491" t="s">
        <v>33</v>
      </c>
      <c r="D103" s="454"/>
      <c r="E103" s="255"/>
      <c r="F103" s="255"/>
      <c r="G103" s="454">
        <v>0.6</v>
      </c>
      <c r="H103" s="222"/>
      <c r="I103" s="222"/>
      <c r="J103" s="458"/>
      <c r="K103" s="443"/>
      <c r="L103" s="258"/>
    </row>
    <row r="104" spans="1:13" ht="17.100000000000001" customHeight="1" x14ac:dyDescent="0.2">
      <c r="A104" s="222"/>
      <c r="B104" s="261" t="s">
        <v>790</v>
      </c>
      <c r="C104" s="443" t="s">
        <v>35</v>
      </c>
      <c r="D104" s="454"/>
      <c r="E104" s="255"/>
      <c r="F104" s="255"/>
      <c r="G104" s="454"/>
      <c r="H104" s="222"/>
      <c r="I104" s="222"/>
      <c r="J104" s="454">
        <f>E102*G103</f>
        <v>1.536</v>
      </c>
      <c r="K104" s="443" t="s">
        <v>35</v>
      </c>
      <c r="L104" s="258"/>
    </row>
    <row r="105" spans="1:13" ht="17.100000000000001" customHeight="1" x14ac:dyDescent="0.2">
      <c r="A105" s="222"/>
      <c r="B105" s="261"/>
      <c r="C105" s="491"/>
      <c r="D105" s="454"/>
      <c r="E105" s="255"/>
      <c r="F105" s="255"/>
      <c r="G105" s="454"/>
      <c r="H105" s="222"/>
      <c r="I105" s="222"/>
      <c r="J105" s="454"/>
      <c r="K105" s="443"/>
      <c r="L105" s="258"/>
    </row>
    <row r="106" spans="1:13" ht="17.100000000000001" customHeight="1" x14ac:dyDescent="0.2">
      <c r="A106" s="222"/>
      <c r="B106" s="261" t="s">
        <v>786</v>
      </c>
      <c r="C106" s="222" t="s">
        <v>33</v>
      </c>
      <c r="D106" s="454"/>
      <c r="E106" s="255"/>
      <c r="F106" s="255">
        <v>0.14000000000000001</v>
      </c>
      <c r="G106" s="454"/>
      <c r="H106" s="222"/>
      <c r="I106" s="222"/>
      <c r="J106" s="454"/>
      <c r="K106" s="443"/>
      <c r="L106" s="258"/>
    </row>
    <row r="107" spans="1:13" ht="17.100000000000001" customHeight="1" x14ac:dyDescent="0.2">
      <c r="A107" s="222"/>
      <c r="B107" s="261" t="s">
        <v>785</v>
      </c>
      <c r="C107" s="443" t="s">
        <v>33</v>
      </c>
      <c r="D107" s="454"/>
      <c r="E107" s="255">
        <f>E102</f>
        <v>2.56</v>
      </c>
      <c r="F107" s="255"/>
      <c r="G107" s="454"/>
      <c r="H107" s="222"/>
      <c r="I107" s="222"/>
      <c r="J107" s="454"/>
      <c r="K107" s="443"/>
      <c r="L107" s="258"/>
    </row>
    <row r="108" spans="1:13" ht="17.100000000000001" customHeight="1" x14ac:dyDescent="0.2">
      <c r="A108" s="222"/>
      <c r="B108" s="261" t="s">
        <v>791</v>
      </c>
      <c r="C108" s="443" t="s">
        <v>35</v>
      </c>
      <c r="D108" s="454"/>
      <c r="E108" s="255"/>
      <c r="F108" s="255"/>
      <c r="G108" s="454"/>
      <c r="H108" s="222"/>
      <c r="I108" s="222"/>
      <c r="J108" s="454">
        <f>E107*F106</f>
        <v>0.35840000000000005</v>
      </c>
      <c r="K108" s="443" t="s">
        <v>35</v>
      </c>
      <c r="L108" s="258"/>
    </row>
    <row r="109" spans="1:13" ht="17.100000000000001" customHeight="1" x14ac:dyDescent="0.2">
      <c r="A109" s="222"/>
      <c r="B109" s="612"/>
      <c r="C109" s="443"/>
      <c r="D109" s="454"/>
      <c r="E109" s="255"/>
      <c r="F109" s="255"/>
      <c r="G109" s="454"/>
      <c r="H109" s="222"/>
      <c r="I109" s="222"/>
      <c r="J109" s="454"/>
      <c r="K109" s="443"/>
      <c r="L109" s="258"/>
    </row>
    <row r="110" spans="1:13" ht="17.100000000000001" customHeight="1" x14ac:dyDescent="0.2">
      <c r="A110" s="222"/>
      <c r="B110" s="261" t="s">
        <v>787</v>
      </c>
      <c r="C110" s="443" t="s">
        <v>33</v>
      </c>
      <c r="D110" s="454"/>
      <c r="E110" s="255">
        <v>0.92</v>
      </c>
      <c r="F110" s="255"/>
      <c r="G110" s="454"/>
      <c r="H110" s="222"/>
      <c r="I110" s="222"/>
      <c r="J110" s="454"/>
      <c r="K110" s="443"/>
      <c r="L110" s="258"/>
    </row>
    <row r="111" spans="1:13" ht="17.100000000000001" customHeight="1" x14ac:dyDescent="0.2">
      <c r="A111" s="222"/>
      <c r="B111" s="261" t="s">
        <v>788</v>
      </c>
      <c r="C111" s="443" t="s">
        <v>33</v>
      </c>
      <c r="D111" s="454"/>
      <c r="E111" s="255">
        <v>0.92</v>
      </c>
      <c r="F111" s="255"/>
      <c r="G111" s="454"/>
      <c r="H111" s="222"/>
      <c r="I111" s="222"/>
      <c r="J111" s="454"/>
      <c r="K111" s="443"/>
      <c r="L111" s="258"/>
    </row>
    <row r="112" spans="1:13" ht="17.100000000000001" customHeight="1" x14ac:dyDescent="0.2">
      <c r="A112" s="222"/>
      <c r="B112" s="261" t="s">
        <v>789</v>
      </c>
      <c r="C112" s="491" t="s">
        <v>33</v>
      </c>
      <c r="D112" s="458"/>
      <c r="E112" s="255"/>
      <c r="F112" s="255"/>
      <c r="G112" s="454">
        <f>G98</f>
        <v>0.21</v>
      </c>
      <c r="H112" s="222"/>
      <c r="I112" s="222"/>
      <c r="J112" s="454"/>
      <c r="K112" s="222"/>
      <c r="L112" s="613"/>
    </row>
    <row r="113" spans="1:25" ht="17.100000000000001" customHeight="1" x14ac:dyDescent="0.2">
      <c r="A113" s="222"/>
      <c r="B113" s="261" t="s">
        <v>792</v>
      </c>
      <c r="C113" s="443" t="s">
        <v>35</v>
      </c>
      <c r="D113" s="458"/>
      <c r="E113" s="255"/>
      <c r="F113" s="255"/>
      <c r="G113" s="463"/>
      <c r="H113" s="222"/>
      <c r="I113" s="222"/>
      <c r="J113" s="454">
        <f>E110+E111*G112</f>
        <v>1.1132</v>
      </c>
      <c r="K113" s="443" t="s">
        <v>35</v>
      </c>
      <c r="L113" s="613"/>
    </row>
    <row r="114" spans="1:25" x14ac:dyDescent="0.2">
      <c r="A114" s="222"/>
      <c r="B114" s="540"/>
      <c r="C114" s="540"/>
      <c r="E114" s="255"/>
      <c r="F114" s="255"/>
      <c r="G114" s="339"/>
      <c r="H114" s="258"/>
      <c r="I114" s="258"/>
      <c r="J114" s="222"/>
      <c r="K114" s="258"/>
      <c r="L114" s="453"/>
    </row>
    <row r="115" spans="1:25" x14ac:dyDescent="0.2">
      <c r="A115" s="222"/>
      <c r="B115" s="612" t="s">
        <v>669</v>
      </c>
      <c r="C115" s="443" t="s">
        <v>35</v>
      </c>
      <c r="D115" s="222"/>
      <c r="E115" s="255"/>
      <c r="F115" s="255"/>
      <c r="G115" s="266"/>
      <c r="H115" s="258"/>
      <c r="I115" s="258"/>
      <c r="J115" s="449">
        <f>J104+J108+J113</f>
        <v>3.0076000000000001</v>
      </c>
      <c r="K115" s="443" t="s">
        <v>35</v>
      </c>
      <c r="L115" s="258"/>
      <c r="O115" s="422"/>
      <c r="P115" s="423"/>
      <c r="Q115" s="424"/>
      <c r="R115" s="425"/>
      <c r="S115" s="405"/>
      <c r="T115" s="405"/>
      <c r="U115" s="405"/>
      <c r="V115" s="405"/>
      <c r="W115" s="698"/>
      <c r="X115" s="405"/>
      <c r="Y115" s="408"/>
    </row>
    <row r="116" spans="1:25" x14ac:dyDescent="0.2">
      <c r="A116" s="222"/>
      <c r="B116" s="219"/>
      <c r="C116" s="258"/>
      <c r="D116" s="254"/>
      <c r="E116" s="255"/>
      <c r="F116" s="255"/>
      <c r="G116" s="266"/>
      <c r="H116" s="258"/>
      <c r="I116" s="258"/>
      <c r="J116" s="222"/>
      <c r="K116" s="258"/>
      <c r="L116" s="453"/>
      <c r="O116" s="422"/>
      <c r="P116" s="423"/>
      <c r="Q116" s="424"/>
      <c r="R116" s="425"/>
      <c r="S116" s="405"/>
      <c r="T116" s="405"/>
      <c r="U116" s="405"/>
      <c r="V116" s="405"/>
      <c r="W116" s="698"/>
      <c r="X116" s="405"/>
      <c r="Y116" s="408"/>
    </row>
    <row r="117" spans="1:25" x14ac:dyDescent="0.2">
      <c r="A117" s="222"/>
      <c r="B117" s="219"/>
      <c r="C117" s="258"/>
      <c r="D117" s="254"/>
      <c r="E117" s="255"/>
      <c r="F117" s="255"/>
      <c r="G117" s="266"/>
      <c r="H117" s="258"/>
      <c r="I117" s="258"/>
      <c r="J117" s="222"/>
      <c r="K117" s="258"/>
      <c r="L117" s="453"/>
      <c r="O117" s="422"/>
      <c r="P117" s="423"/>
      <c r="Q117" s="424"/>
      <c r="R117" s="425"/>
      <c r="S117" s="405"/>
      <c r="T117" s="405"/>
      <c r="U117" s="405"/>
      <c r="V117" s="405"/>
      <c r="W117" s="698"/>
      <c r="X117" s="405"/>
      <c r="Y117" s="408"/>
    </row>
    <row r="118" spans="1:25" x14ac:dyDescent="0.2">
      <c r="A118" s="222"/>
      <c r="B118" s="219"/>
      <c r="C118" s="258"/>
      <c r="D118" s="254"/>
      <c r="E118" s="255"/>
      <c r="F118" s="255"/>
      <c r="G118" s="266"/>
      <c r="H118" s="258"/>
      <c r="I118" s="258"/>
      <c r="J118" s="222"/>
      <c r="K118" s="258"/>
      <c r="L118" s="453"/>
      <c r="O118" s="422"/>
      <c r="P118" s="423"/>
      <c r="Q118" s="424"/>
      <c r="R118" s="425"/>
      <c r="S118" s="405"/>
      <c r="T118" s="405"/>
      <c r="U118" s="405"/>
      <c r="V118" s="405"/>
      <c r="W118" s="698"/>
      <c r="X118" s="405"/>
      <c r="Y118" s="408"/>
    </row>
    <row r="119" spans="1:25" ht="38.25" x14ac:dyDescent="0.2">
      <c r="A119" s="222" t="s">
        <v>904</v>
      </c>
      <c r="B119" s="610" t="s">
        <v>314</v>
      </c>
      <c r="C119" s="443" t="s">
        <v>35</v>
      </c>
      <c r="D119" s="449">
        <f>J121</f>
        <v>3.3083600000000004</v>
      </c>
      <c r="E119" s="255"/>
      <c r="F119" s="255"/>
      <c r="G119" s="339"/>
      <c r="H119" s="258"/>
      <c r="I119" s="258"/>
      <c r="J119" s="222"/>
      <c r="K119" s="258"/>
      <c r="L119" s="443"/>
      <c r="N119" s="798" t="s">
        <v>864</v>
      </c>
      <c r="O119" s="798"/>
      <c r="P119" s="798"/>
      <c r="Q119" s="424"/>
      <c r="R119" s="425"/>
      <c r="S119" s="405"/>
      <c r="T119" s="405"/>
      <c r="U119" s="405"/>
      <c r="V119" s="405"/>
      <c r="W119" s="698"/>
      <c r="X119" s="405"/>
      <c r="Y119" s="408"/>
    </row>
    <row r="120" spans="1:25" x14ac:dyDescent="0.2">
      <c r="A120" s="222"/>
      <c r="B120" s="610"/>
      <c r="C120" s="443"/>
      <c r="D120" s="449"/>
      <c r="E120" s="255"/>
      <c r="F120" s="255"/>
      <c r="G120" s="339"/>
      <c r="H120" s="258"/>
      <c r="I120" s="258"/>
      <c r="J120" s="222"/>
      <c r="K120" s="258"/>
      <c r="L120" s="453"/>
      <c r="O120" s="422"/>
      <c r="P120" s="423"/>
      <c r="Q120" s="424"/>
      <c r="R120" s="425"/>
      <c r="S120" s="405"/>
      <c r="T120" s="405"/>
      <c r="U120" s="405"/>
      <c r="V120" s="405"/>
      <c r="W120" s="698"/>
      <c r="X120" s="405"/>
      <c r="Y120" s="408"/>
    </row>
    <row r="121" spans="1:25" x14ac:dyDescent="0.2">
      <c r="A121" s="222"/>
      <c r="B121" s="394" t="s">
        <v>445</v>
      </c>
      <c r="C121" s="443" t="s">
        <v>7</v>
      </c>
      <c r="D121" s="222"/>
      <c r="E121" s="255"/>
      <c r="F121" s="255"/>
      <c r="G121" s="339"/>
      <c r="H121" s="258"/>
      <c r="I121" s="258"/>
      <c r="J121" s="449">
        <f>(J105+J110+J115)*1.1</f>
        <v>3.3083600000000004</v>
      </c>
      <c r="K121" s="443" t="s">
        <v>35</v>
      </c>
      <c r="L121" s="613" t="s">
        <v>588</v>
      </c>
      <c r="O121" s="422"/>
      <c r="P121" s="423"/>
      <c r="Q121" s="424"/>
      <c r="R121" s="425"/>
      <c r="S121" s="405"/>
      <c r="T121" s="405"/>
      <c r="U121" s="405"/>
      <c r="V121" s="405"/>
      <c r="W121" s="698"/>
      <c r="X121" s="405"/>
      <c r="Y121" s="408"/>
    </row>
    <row r="122" spans="1:25" x14ac:dyDescent="0.2">
      <c r="A122" s="222"/>
      <c r="B122" s="610"/>
      <c r="C122" s="443"/>
      <c r="D122" s="254"/>
      <c r="E122" s="255"/>
      <c r="F122" s="255"/>
      <c r="G122" s="339"/>
      <c r="H122" s="258"/>
      <c r="I122" s="258"/>
      <c r="J122" s="222"/>
      <c r="K122" s="258"/>
      <c r="L122" s="453"/>
      <c r="O122" s="422"/>
      <c r="P122" s="423"/>
      <c r="Q122" s="424"/>
      <c r="R122" s="425"/>
      <c r="S122" s="405"/>
      <c r="T122" s="405"/>
      <c r="U122" s="405"/>
      <c r="V122" s="405"/>
      <c r="W122" s="698"/>
      <c r="X122" s="405"/>
      <c r="Y122" s="408"/>
    </row>
    <row r="123" spans="1:25" x14ac:dyDescent="0.2">
      <c r="A123" s="222"/>
      <c r="B123" s="612"/>
      <c r="C123" s="222"/>
      <c r="D123" s="222"/>
      <c r="E123" s="255"/>
      <c r="F123" s="255"/>
      <c r="G123" s="266"/>
      <c r="H123" s="258"/>
      <c r="I123" s="497"/>
      <c r="J123" s="449"/>
      <c r="K123" s="443"/>
      <c r="L123" s="453"/>
    </row>
    <row r="124" spans="1:25" ht="38.25" x14ac:dyDescent="0.2">
      <c r="A124" s="222" t="s">
        <v>905</v>
      </c>
      <c r="B124" s="586" t="s">
        <v>412</v>
      </c>
      <c r="C124" s="443" t="s">
        <v>416</v>
      </c>
      <c r="D124" s="458">
        <f>J129</f>
        <v>4.3349999999999993E-2</v>
      </c>
      <c r="E124" s="255"/>
      <c r="F124" s="255"/>
      <c r="G124" s="266"/>
      <c r="H124" s="258"/>
      <c r="I124" s="497"/>
      <c r="J124" s="449"/>
      <c r="K124" s="443"/>
      <c r="L124" s="453"/>
    </row>
    <row r="125" spans="1:25" x14ac:dyDescent="0.2">
      <c r="A125" s="222"/>
      <c r="B125" s="394" t="s">
        <v>513</v>
      </c>
      <c r="C125" s="450" t="s">
        <v>33</v>
      </c>
      <c r="D125" s="254"/>
      <c r="E125" s="255"/>
      <c r="F125" s="255"/>
      <c r="G125" s="474">
        <v>0.06</v>
      </c>
      <c r="H125" s="258"/>
      <c r="I125" s="258"/>
      <c r="J125" s="222"/>
      <c r="K125" s="222"/>
      <c r="L125" s="453" t="s">
        <v>587</v>
      </c>
    </row>
    <row r="126" spans="1:25" x14ac:dyDescent="0.2">
      <c r="A126" s="222"/>
      <c r="B126" s="394" t="s">
        <v>793</v>
      </c>
      <c r="C126" s="443" t="s">
        <v>33</v>
      </c>
      <c r="D126" s="454"/>
      <c r="E126" s="255">
        <v>0.85</v>
      </c>
      <c r="F126" s="255"/>
      <c r="G126" s="474"/>
      <c r="H126" s="258"/>
      <c r="I126" s="258"/>
      <c r="J126" s="222"/>
      <c r="K126" s="222"/>
      <c r="L126" s="453" t="s">
        <v>672</v>
      </c>
    </row>
    <row r="127" spans="1:25" x14ac:dyDescent="0.2">
      <c r="A127" s="222"/>
      <c r="B127" s="394" t="s">
        <v>794</v>
      </c>
      <c r="C127" s="443" t="s">
        <v>33</v>
      </c>
      <c r="D127" s="454"/>
      <c r="E127" s="255"/>
      <c r="F127" s="255">
        <v>0.85</v>
      </c>
      <c r="G127" s="474"/>
      <c r="H127" s="258"/>
      <c r="I127" s="258"/>
      <c r="J127" s="222"/>
      <c r="K127" s="222"/>
      <c r="L127" s="453"/>
    </row>
    <row r="128" spans="1:25" x14ac:dyDescent="0.2">
      <c r="A128" s="222"/>
      <c r="B128" s="394" t="s">
        <v>479</v>
      </c>
      <c r="C128" s="443" t="s">
        <v>35</v>
      </c>
      <c r="D128" s="454">
        <f>E126*F127</f>
        <v>0.72249999999999992</v>
      </c>
      <c r="E128" s="255"/>
      <c r="F128" s="255"/>
      <c r="G128" s="474"/>
      <c r="H128" s="258"/>
      <c r="I128" s="258"/>
      <c r="J128" s="222"/>
      <c r="K128" s="222"/>
      <c r="L128" s="453"/>
    </row>
    <row r="129" spans="1:12" x14ac:dyDescent="0.2">
      <c r="A129" s="222"/>
      <c r="B129" s="646" t="s">
        <v>673</v>
      </c>
      <c r="C129" s="443" t="s">
        <v>416</v>
      </c>
      <c r="D129" s="587"/>
      <c r="E129" s="255"/>
      <c r="F129" s="255"/>
      <c r="G129" s="474"/>
      <c r="H129" s="258"/>
      <c r="I129" s="258"/>
      <c r="J129" s="458">
        <f>D128*G125</f>
        <v>4.3349999999999993E-2</v>
      </c>
      <c r="K129" s="443" t="s">
        <v>416</v>
      </c>
      <c r="L129" s="453"/>
    </row>
    <row r="130" spans="1:12" x14ac:dyDescent="0.2">
      <c r="A130" s="340"/>
      <c r="B130" s="440"/>
      <c r="C130" s="440"/>
      <c r="D130" s="440"/>
      <c r="E130" s="440"/>
      <c r="F130" s="616"/>
      <c r="G130" s="222"/>
      <c r="H130" s="258"/>
      <c r="I130" s="258"/>
      <c r="J130" s="222"/>
      <c r="K130" s="258"/>
      <c r="L130" s="453"/>
    </row>
  </sheetData>
  <sheetProtection algorithmName="SHA-512" hashValue="qHRnmisz/703kOgs7at94HzovM4YJJr+nXUTn1K+QXjuwxB7bfrvTx0vkUgit/TN3Jix/5/Q/8ccoFMUu9mMwQ==" saltValue="6k7VQ1gMPsG0q9je6Kty3Q==" spinCount="100000" sheet="1" objects="1" scenarios="1" selectLockedCells="1" selectUnlockedCells="1"/>
  <mergeCells count="5">
    <mergeCell ref="O80:P80"/>
    <mergeCell ref="A1:L1"/>
    <mergeCell ref="A2:L2"/>
    <mergeCell ref="L4:L11"/>
    <mergeCell ref="N119:P119"/>
  </mergeCells>
  <printOptions horizontalCentered="1"/>
  <pageMargins left="0.51181102362204722" right="0.51181102362204722" top="0.78740157480314965" bottom="0.78740157480314965" header="0.31496062992125984" footer="0.31496062992125984"/>
  <pageSetup paperSize="9" scale="6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Q27"/>
  <sheetViews>
    <sheetView workbookViewId="0">
      <selection activeCell="M11" sqref="M11"/>
    </sheetView>
  </sheetViews>
  <sheetFormatPr defaultRowHeight="12.75" x14ac:dyDescent="0.2"/>
  <cols>
    <col min="1" max="2" width="6.7109375" style="232" customWidth="1"/>
    <col min="3" max="3" width="59.28515625" style="232" customWidth="1"/>
    <col min="4" max="4" width="8.7109375" style="232" customWidth="1"/>
    <col min="5" max="5" width="10.42578125" style="564" customWidth="1"/>
    <col min="6" max="7" width="8.7109375" style="232" customWidth="1"/>
    <col min="8" max="8" width="12.7109375" style="232" customWidth="1"/>
    <col min="9" max="12" width="9.140625" style="232"/>
    <col min="13" max="13" width="12.28515625" style="232" customWidth="1"/>
    <col min="14" max="14" width="22.140625" style="232" customWidth="1"/>
    <col min="15" max="257" width="9.140625" style="232"/>
    <col min="258" max="258" width="5.28515625" style="232" customWidth="1"/>
    <col min="259" max="259" width="57" style="232" customWidth="1"/>
    <col min="260" max="260" width="5" style="232" customWidth="1"/>
    <col min="261" max="261" width="7" style="232" customWidth="1"/>
    <col min="262" max="262" width="9.140625" style="232"/>
    <col min="263" max="263" width="13.28515625" style="232" customWidth="1"/>
    <col min="264" max="264" width="11.7109375" style="232" customWidth="1"/>
    <col min="265" max="513" width="9.140625" style="232"/>
    <col min="514" max="514" width="5.28515625" style="232" customWidth="1"/>
    <col min="515" max="515" width="57" style="232" customWidth="1"/>
    <col min="516" max="516" width="5" style="232" customWidth="1"/>
    <col min="517" max="517" width="7" style="232" customWidth="1"/>
    <col min="518" max="518" width="9.140625" style="232"/>
    <col min="519" max="519" width="13.28515625" style="232" customWidth="1"/>
    <col min="520" max="520" width="11.7109375" style="232" customWidth="1"/>
    <col min="521" max="769" width="9.140625" style="232"/>
    <col min="770" max="770" width="5.28515625" style="232" customWidth="1"/>
    <col min="771" max="771" width="57" style="232" customWidth="1"/>
    <col min="772" max="772" width="5" style="232" customWidth="1"/>
    <col min="773" max="773" width="7" style="232" customWidth="1"/>
    <col min="774" max="774" width="9.140625" style="232"/>
    <col min="775" max="775" width="13.28515625" style="232" customWidth="1"/>
    <col min="776" max="776" width="11.7109375" style="232" customWidth="1"/>
    <col min="777" max="1025" width="9.140625" style="232"/>
    <col min="1026" max="1026" width="5.28515625" style="232" customWidth="1"/>
    <col min="1027" max="1027" width="57" style="232" customWidth="1"/>
    <col min="1028" max="1028" width="5" style="232" customWidth="1"/>
    <col min="1029" max="1029" width="7" style="232" customWidth="1"/>
    <col min="1030" max="1030" width="9.140625" style="232"/>
    <col min="1031" max="1031" width="13.28515625" style="232" customWidth="1"/>
    <col min="1032" max="1032" width="11.7109375" style="232" customWidth="1"/>
    <col min="1033" max="1281" width="9.140625" style="232"/>
    <col min="1282" max="1282" width="5.28515625" style="232" customWidth="1"/>
    <col min="1283" max="1283" width="57" style="232" customWidth="1"/>
    <col min="1284" max="1284" width="5" style="232" customWidth="1"/>
    <col min="1285" max="1285" width="7" style="232" customWidth="1"/>
    <col min="1286" max="1286" width="9.140625" style="232"/>
    <col min="1287" max="1287" width="13.28515625" style="232" customWidth="1"/>
    <col min="1288" max="1288" width="11.7109375" style="232" customWidth="1"/>
    <col min="1289" max="1537" width="9.140625" style="232"/>
    <col min="1538" max="1538" width="5.28515625" style="232" customWidth="1"/>
    <col min="1539" max="1539" width="57" style="232" customWidth="1"/>
    <col min="1540" max="1540" width="5" style="232" customWidth="1"/>
    <col min="1541" max="1541" width="7" style="232" customWidth="1"/>
    <col min="1542" max="1542" width="9.140625" style="232"/>
    <col min="1543" max="1543" width="13.28515625" style="232" customWidth="1"/>
    <col min="1544" max="1544" width="11.7109375" style="232" customWidth="1"/>
    <col min="1545" max="1793" width="9.140625" style="232"/>
    <col min="1794" max="1794" width="5.28515625" style="232" customWidth="1"/>
    <col min="1795" max="1795" width="57" style="232" customWidth="1"/>
    <col min="1796" max="1796" width="5" style="232" customWidth="1"/>
    <col min="1797" max="1797" width="7" style="232" customWidth="1"/>
    <col min="1798" max="1798" width="9.140625" style="232"/>
    <col min="1799" max="1799" width="13.28515625" style="232" customWidth="1"/>
    <col min="1800" max="1800" width="11.7109375" style="232" customWidth="1"/>
    <col min="1801" max="2049" width="9.140625" style="232"/>
    <col min="2050" max="2050" width="5.28515625" style="232" customWidth="1"/>
    <col min="2051" max="2051" width="57" style="232" customWidth="1"/>
    <col min="2052" max="2052" width="5" style="232" customWidth="1"/>
    <col min="2053" max="2053" width="7" style="232" customWidth="1"/>
    <col min="2054" max="2054" width="9.140625" style="232"/>
    <col min="2055" max="2055" width="13.28515625" style="232" customWidth="1"/>
    <col min="2056" max="2056" width="11.7109375" style="232" customWidth="1"/>
    <col min="2057" max="2305" width="9.140625" style="232"/>
    <col min="2306" max="2306" width="5.28515625" style="232" customWidth="1"/>
    <col min="2307" max="2307" width="57" style="232" customWidth="1"/>
    <col min="2308" max="2308" width="5" style="232" customWidth="1"/>
    <col min="2309" max="2309" width="7" style="232" customWidth="1"/>
    <col min="2310" max="2310" width="9.140625" style="232"/>
    <col min="2311" max="2311" width="13.28515625" style="232" customWidth="1"/>
    <col min="2312" max="2312" width="11.7109375" style="232" customWidth="1"/>
    <col min="2313" max="2561" width="9.140625" style="232"/>
    <col min="2562" max="2562" width="5.28515625" style="232" customWidth="1"/>
    <col min="2563" max="2563" width="57" style="232" customWidth="1"/>
    <col min="2564" max="2564" width="5" style="232" customWidth="1"/>
    <col min="2565" max="2565" width="7" style="232" customWidth="1"/>
    <col min="2566" max="2566" width="9.140625" style="232"/>
    <col min="2567" max="2567" width="13.28515625" style="232" customWidth="1"/>
    <col min="2568" max="2568" width="11.7109375" style="232" customWidth="1"/>
    <col min="2569" max="2817" width="9.140625" style="232"/>
    <col min="2818" max="2818" width="5.28515625" style="232" customWidth="1"/>
    <col min="2819" max="2819" width="57" style="232" customWidth="1"/>
    <col min="2820" max="2820" width="5" style="232" customWidth="1"/>
    <col min="2821" max="2821" width="7" style="232" customWidth="1"/>
    <col min="2822" max="2822" width="9.140625" style="232"/>
    <col min="2823" max="2823" width="13.28515625" style="232" customWidth="1"/>
    <col min="2824" max="2824" width="11.7109375" style="232" customWidth="1"/>
    <col min="2825" max="3073" width="9.140625" style="232"/>
    <col min="3074" max="3074" width="5.28515625" style="232" customWidth="1"/>
    <col min="3075" max="3075" width="57" style="232" customWidth="1"/>
    <col min="3076" max="3076" width="5" style="232" customWidth="1"/>
    <col min="3077" max="3077" width="7" style="232" customWidth="1"/>
    <col min="3078" max="3078" width="9.140625" style="232"/>
    <col min="3079" max="3079" width="13.28515625" style="232" customWidth="1"/>
    <col min="3080" max="3080" width="11.7109375" style="232" customWidth="1"/>
    <col min="3081" max="3329" width="9.140625" style="232"/>
    <col min="3330" max="3330" width="5.28515625" style="232" customWidth="1"/>
    <col min="3331" max="3331" width="57" style="232" customWidth="1"/>
    <col min="3332" max="3332" width="5" style="232" customWidth="1"/>
    <col min="3333" max="3333" width="7" style="232" customWidth="1"/>
    <col min="3334" max="3334" width="9.140625" style="232"/>
    <col min="3335" max="3335" width="13.28515625" style="232" customWidth="1"/>
    <col min="3336" max="3336" width="11.7109375" style="232" customWidth="1"/>
    <col min="3337" max="3585" width="9.140625" style="232"/>
    <col min="3586" max="3586" width="5.28515625" style="232" customWidth="1"/>
    <col min="3587" max="3587" width="57" style="232" customWidth="1"/>
    <col min="3588" max="3588" width="5" style="232" customWidth="1"/>
    <col min="3589" max="3589" width="7" style="232" customWidth="1"/>
    <col min="3590" max="3590" width="9.140625" style="232"/>
    <col min="3591" max="3591" width="13.28515625" style="232" customWidth="1"/>
    <col min="3592" max="3592" width="11.7109375" style="232" customWidth="1"/>
    <col min="3593" max="3841" width="9.140625" style="232"/>
    <col min="3842" max="3842" width="5.28515625" style="232" customWidth="1"/>
    <col min="3843" max="3843" width="57" style="232" customWidth="1"/>
    <col min="3844" max="3844" width="5" style="232" customWidth="1"/>
    <col min="3845" max="3845" width="7" style="232" customWidth="1"/>
    <col min="3846" max="3846" width="9.140625" style="232"/>
    <col min="3847" max="3847" width="13.28515625" style="232" customWidth="1"/>
    <col min="3848" max="3848" width="11.7109375" style="232" customWidth="1"/>
    <col min="3849" max="4097" width="9.140625" style="232"/>
    <col min="4098" max="4098" width="5.28515625" style="232" customWidth="1"/>
    <col min="4099" max="4099" width="57" style="232" customWidth="1"/>
    <col min="4100" max="4100" width="5" style="232" customWidth="1"/>
    <col min="4101" max="4101" width="7" style="232" customWidth="1"/>
    <col min="4102" max="4102" width="9.140625" style="232"/>
    <col min="4103" max="4103" width="13.28515625" style="232" customWidth="1"/>
    <col min="4104" max="4104" width="11.7109375" style="232" customWidth="1"/>
    <col min="4105" max="4353" width="9.140625" style="232"/>
    <col min="4354" max="4354" width="5.28515625" style="232" customWidth="1"/>
    <col min="4355" max="4355" width="57" style="232" customWidth="1"/>
    <col min="4356" max="4356" width="5" style="232" customWidth="1"/>
    <col min="4357" max="4357" width="7" style="232" customWidth="1"/>
    <col min="4358" max="4358" width="9.140625" style="232"/>
    <col min="4359" max="4359" width="13.28515625" style="232" customWidth="1"/>
    <col min="4360" max="4360" width="11.7109375" style="232" customWidth="1"/>
    <col min="4361" max="4609" width="9.140625" style="232"/>
    <col min="4610" max="4610" width="5.28515625" style="232" customWidth="1"/>
    <col min="4611" max="4611" width="57" style="232" customWidth="1"/>
    <col min="4612" max="4612" width="5" style="232" customWidth="1"/>
    <col min="4613" max="4613" width="7" style="232" customWidth="1"/>
    <col min="4614" max="4614" width="9.140625" style="232"/>
    <col min="4615" max="4615" width="13.28515625" style="232" customWidth="1"/>
    <col min="4616" max="4616" width="11.7109375" style="232" customWidth="1"/>
    <col min="4617" max="4865" width="9.140625" style="232"/>
    <col min="4866" max="4866" width="5.28515625" style="232" customWidth="1"/>
    <col min="4867" max="4867" width="57" style="232" customWidth="1"/>
    <col min="4868" max="4868" width="5" style="232" customWidth="1"/>
    <col min="4869" max="4869" width="7" style="232" customWidth="1"/>
    <col min="4870" max="4870" width="9.140625" style="232"/>
    <col min="4871" max="4871" width="13.28515625" style="232" customWidth="1"/>
    <col min="4872" max="4872" width="11.7109375" style="232" customWidth="1"/>
    <col min="4873" max="5121" width="9.140625" style="232"/>
    <col min="5122" max="5122" width="5.28515625" style="232" customWidth="1"/>
    <col min="5123" max="5123" width="57" style="232" customWidth="1"/>
    <col min="5124" max="5124" width="5" style="232" customWidth="1"/>
    <col min="5125" max="5125" width="7" style="232" customWidth="1"/>
    <col min="5126" max="5126" width="9.140625" style="232"/>
    <col min="5127" max="5127" width="13.28515625" style="232" customWidth="1"/>
    <col min="5128" max="5128" width="11.7109375" style="232" customWidth="1"/>
    <col min="5129" max="5377" width="9.140625" style="232"/>
    <col min="5378" max="5378" width="5.28515625" style="232" customWidth="1"/>
    <col min="5379" max="5379" width="57" style="232" customWidth="1"/>
    <col min="5380" max="5380" width="5" style="232" customWidth="1"/>
    <col min="5381" max="5381" width="7" style="232" customWidth="1"/>
    <col min="5382" max="5382" width="9.140625" style="232"/>
    <col min="5383" max="5383" width="13.28515625" style="232" customWidth="1"/>
    <col min="5384" max="5384" width="11.7109375" style="232" customWidth="1"/>
    <col min="5385" max="5633" width="9.140625" style="232"/>
    <col min="5634" max="5634" width="5.28515625" style="232" customWidth="1"/>
    <col min="5635" max="5635" width="57" style="232" customWidth="1"/>
    <col min="5636" max="5636" width="5" style="232" customWidth="1"/>
    <col min="5637" max="5637" width="7" style="232" customWidth="1"/>
    <col min="5638" max="5638" width="9.140625" style="232"/>
    <col min="5639" max="5639" width="13.28515625" style="232" customWidth="1"/>
    <col min="5640" max="5640" width="11.7109375" style="232" customWidth="1"/>
    <col min="5641" max="5889" width="9.140625" style="232"/>
    <col min="5890" max="5890" width="5.28515625" style="232" customWidth="1"/>
    <col min="5891" max="5891" width="57" style="232" customWidth="1"/>
    <col min="5892" max="5892" width="5" style="232" customWidth="1"/>
    <col min="5893" max="5893" width="7" style="232" customWidth="1"/>
    <col min="5894" max="5894" width="9.140625" style="232"/>
    <col min="5895" max="5895" width="13.28515625" style="232" customWidth="1"/>
    <col min="5896" max="5896" width="11.7109375" style="232" customWidth="1"/>
    <col min="5897" max="6145" width="9.140625" style="232"/>
    <col min="6146" max="6146" width="5.28515625" style="232" customWidth="1"/>
    <col min="6147" max="6147" width="57" style="232" customWidth="1"/>
    <col min="6148" max="6148" width="5" style="232" customWidth="1"/>
    <col min="6149" max="6149" width="7" style="232" customWidth="1"/>
    <col min="6150" max="6150" width="9.140625" style="232"/>
    <col min="6151" max="6151" width="13.28515625" style="232" customWidth="1"/>
    <col min="6152" max="6152" width="11.7109375" style="232" customWidth="1"/>
    <col min="6153" max="6401" width="9.140625" style="232"/>
    <col min="6402" max="6402" width="5.28515625" style="232" customWidth="1"/>
    <col min="6403" max="6403" width="57" style="232" customWidth="1"/>
    <col min="6404" max="6404" width="5" style="232" customWidth="1"/>
    <col min="6405" max="6405" width="7" style="232" customWidth="1"/>
    <col min="6406" max="6406" width="9.140625" style="232"/>
    <col min="6407" max="6407" width="13.28515625" style="232" customWidth="1"/>
    <col min="6408" max="6408" width="11.7109375" style="232" customWidth="1"/>
    <col min="6409" max="6657" width="9.140625" style="232"/>
    <col min="6658" max="6658" width="5.28515625" style="232" customWidth="1"/>
    <col min="6659" max="6659" width="57" style="232" customWidth="1"/>
    <col min="6660" max="6660" width="5" style="232" customWidth="1"/>
    <col min="6661" max="6661" width="7" style="232" customWidth="1"/>
    <col min="6662" max="6662" width="9.140625" style="232"/>
    <col min="6663" max="6663" width="13.28515625" style="232" customWidth="1"/>
    <col min="6664" max="6664" width="11.7109375" style="232" customWidth="1"/>
    <col min="6665" max="6913" width="9.140625" style="232"/>
    <col min="6914" max="6914" width="5.28515625" style="232" customWidth="1"/>
    <col min="6915" max="6915" width="57" style="232" customWidth="1"/>
    <col min="6916" max="6916" width="5" style="232" customWidth="1"/>
    <col min="6917" max="6917" width="7" style="232" customWidth="1"/>
    <col min="6918" max="6918" width="9.140625" style="232"/>
    <col min="6919" max="6919" width="13.28515625" style="232" customWidth="1"/>
    <col min="6920" max="6920" width="11.7109375" style="232" customWidth="1"/>
    <col min="6921" max="7169" width="9.140625" style="232"/>
    <col min="7170" max="7170" width="5.28515625" style="232" customWidth="1"/>
    <col min="7171" max="7171" width="57" style="232" customWidth="1"/>
    <col min="7172" max="7172" width="5" style="232" customWidth="1"/>
    <col min="7173" max="7173" width="7" style="232" customWidth="1"/>
    <col min="7174" max="7174" width="9.140625" style="232"/>
    <col min="7175" max="7175" width="13.28515625" style="232" customWidth="1"/>
    <col min="7176" max="7176" width="11.7109375" style="232" customWidth="1"/>
    <col min="7177" max="7425" width="9.140625" style="232"/>
    <col min="7426" max="7426" width="5.28515625" style="232" customWidth="1"/>
    <col min="7427" max="7427" width="57" style="232" customWidth="1"/>
    <col min="7428" max="7428" width="5" style="232" customWidth="1"/>
    <col min="7429" max="7429" width="7" style="232" customWidth="1"/>
    <col min="7430" max="7430" width="9.140625" style="232"/>
    <col min="7431" max="7431" width="13.28515625" style="232" customWidth="1"/>
    <col min="7432" max="7432" width="11.7109375" style="232" customWidth="1"/>
    <col min="7433" max="7681" width="9.140625" style="232"/>
    <col min="7682" max="7682" width="5.28515625" style="232" customWidth="1"/>
    <col min="7683" max="7683" width="57" style="232" customWidth="1"/>
    <col min="7684" max="7684" width="5" style="232" customWidth="1"/>
    <col min="7685" max="7685" width="7" style="232" customWidth="1"/>
    <col min="7686" max="7686" width="9.140625" style="232"/>
    <col min="7687" max="7687" width="13.28515625" style="232" customWidth="1"/>
    <col min="7688" max="7688" width="11.7109375" style="232" customWidth="1"/>
    <col min="7689" max="7937" width="9.140625" style="232"/>
    <col min="7938" max="7938" width="5.28515625" style="232" customWidth="1"/>
    <col min="7939" max="7939" width="57" style="232" customWidth="1"/>
    <col min="7940" max="7940" width="5" style="232" customWidth="1"/>
    <col min="7941" max="7941" width="7" style="232" customWidth="1"/>
    <col min="7942" max="7942" width="9.140625" style="232"/>
    <col min="7943" max="7943" width="13.28515625" style="232" customWidth="1"/>
    <col min="7944" max="7944" width="11.7109375" style="232" customWidth="1"/>
    <col min="7945" max="8193" width="9.140625" style="232"/>
    <col min="8194" max="8194" width="5.28515625" style="232" customWidth="1"/>
    <col min="8195" max="8195" width="57" style="232" customWidth="1"/>
    <col min="8196" max="8196" width="5" style="232" customWidth="1"/>
    <col min="8197" max="8197" width="7" style="232" customWidth="1"/>
    <col min="8198" max="8198" width="9.140625" style="232"/>
    <col min="8199" max="8199" width="13.28515625" style="232" customWidth="1"/>
    <col min="8200" max="8200" width="11.7109375" style="232" customWidth="1"/>
    <col min="8201" max="8449" width="9.140625" style="232"/>
    <col min="8450" max="8450" width="5.28515625" style="232" customWidth="1"/>
    <col min="8451" max="8451" width="57" style="232" customWidth="1"/>
    <col min="8452" max="8452" width="5" style="232" customWidth="1"/>
    <col min="8453" max="8453" width="7" style="232" customWidth="1"/>
    <col min="8454" max="8454" width="9.140625" style="232"/>
    <col min="8455" max="8455" width="13.28515625" style="232" customWidth="1"/>
    <col min="8456" max="8456" width="11.7109375" style="232" customWidth="1"/>
    <col min="8457" max="8705" width="9.140625" style="232"/>
    <col min="8706" max="8706" width="5.28515625" style="232" customWidth="1"/>
    <col min="8707" max="8707" width="57" style="232" customWidth="1"/>
    <col min="8708" max="8708" width="5" style="232" customWidth="1"/>
    <col min="8709" max="8709" width="7" style="232" customWidth="1"/>
    <col min="8710" max="8710" width="9.140625" style="232"/>
    <col min="8711" max="8711" width="13.28515625" style="232" customWidth="1"/>
    <col min="8712" max="8712" width="11.7109375" style="232" customWidth="1"/>
    <col min="8713" max="8961" width="9.140625" style="232"/>
    <col min="8962" max="8962" width="5.28515625" style="232" customWidth="1"/>
    <col min="8963" max="8963" width="57" style="232" customWidth="1"/>
    <col min="8964" max="8964" width="5" style="232" customWidth="1"/>
    <col min="8965" max="8965" width="7" style="232" customWidth="1"/>
    <col min="8966" max="8966" width="9.140625" style="232"/>
    <col min="8967" max="8967" width="13.28515625" style="232" customWidth="1"/>
    <col min="8968" max="8968" width="11.7109375" style="232" customWidth="1"/>
    <col min="8969" max="9217" width="9.140625" style="232"/>
    <col min="9218" max="9218" width="5.28515625" style="232" customWidth="1"/>
    <col min="9219" max="9219" width="57" style="232" customWidth="1"/>
    <col min="9220" max="9220" width="5" style="232" customWidth="1"/>
    <col min="9221" max="9221" width="7" style="232" customWidth="1"/>
    <col min="9222" max="9222" width="9.140625" style="232"/>
    <col min="9223" max="9223" width="13.28515625" style="232" customWidth="1"/>
    <col min="9224" max="9224" width="11.7109375" style="232" customWidth="1"/>
    <col min="9225" max="9473" width="9.140625" style="232"/>
    <col min="9474" max="9474" width="5.28515625" style="232" customWidth="1"/>
    <col min="9475" max="9475" width="57" style="232" customWidth="1"/>
    <col min="9476" max="9476" width="5" style="232" customWidth="1"/>
    <col min="9477" max="9477" width="7" style="232" customWidth="1"/>
    <col min="9478" max="9478" width="9.140625" style="232"/>
    <col min="9479" max="9479" width="13.28515625" style="232" customWidth="1"/>
    <col min="9480" max="9480" width="11.7109375" style="232" customWidth="1"/>
    <col min="9481" max="9729" width="9.140625" style="232"/>
    <col min="9730" max="9730" width="5.28515625" style="232" customWidth="1"/>
    <col min="9731" max="9731" width="57" style="232" customWidth="1"/>
    <col min="9732" max="9732" width="5" style="232" customWidth="1"/>
    <col min="9733" max="9733" width="7" style="232" customWidth="1"/>
    <col min="9734" max="9734" width="9.140625" style="232"/>
    <col min="9735" max="9735" width="13.28515625" style="232" customWidth="1"/>
    <col min="9736" max="9736" width="11.7109375" style="232" customWidth="1"/>
    <col min="9737" max="9985" width="9.140625" style="232"/>
    <col min="9986" max="9986" width="5.28515625" style="232" customWidth="1"/>
    <col min="9987" max="9987" width="57" style="232" customWidth="1"/>
    <col min="9988" max="9988" width="5" style="232" customWidth="1"/>
    <col min="9989" max="9989" width="7" style="232" customWidth="1"/>
    <col min="9990" max="9990" width="9.140625" style="232"/>
    <col min="9991" max="9991" width="13.28515625" style="232" customWidth="1"/>
    <col min="9992" max="9992" width="11.7109375" style="232" customWidth="1"/>
    <col min="9993" max="10241" width="9.140625" style="232"/>
    <col min="10242" max="10242" width="5.28515625" style="232" customWidth="1"/>
    <col min="10243" max="10243" width="57" style="232" customWidth="1"/>
    <col min="10244" max="10244" width="5" style="232" customWidth="1"/>
    <col min="10245" max="10245" width="7" style="232" customWidth="1"/>
    <col min="10246" max="10246" width="9.140625" style="232"/>
    <col min="10247" max="10247" width="13.28515625" style="232" customWidth="1"/>
    <col min="10248" max="10248" width="11.7109375" style="232" customWidth="1"/>
    <col min="10249" max="10497" width="9.140625" style="232"/>
    <col min="10498" max="10498" width="5.28515625" style="232" customWidth="1"/>
    <col min="10499" max="10499" width="57" style="232" customWidth="1"/>
    <col min="10500" max="10500" width="5" style="232" customWidth="1"/>
    <col min="10501" max="10501" width="7" style="232" customWidth="1"/>
    <col min="10502" max="10502" width="9.140625" style="232"/>
    <col min="10503" max="10503" width="13.28515625" style="232" customWidth="1"/>
    <col min="10504" max="10504" width="11.7109375" style="232" customWidth="1"/>
    <col min="10505" max="10753" width="9.140625" style="232"/>
    <col min="10754" max="10754" width="5.28515625" style="232" customWidth="1"/>
    <col min="10755" max="10755" width="57" style="232" customWidth="1"/>
    <col min="10756" max="10756" width="5" style="232" customWidth="1"/>
    <col min="10757" max="10757" width="7" style="232" customWidth="1"/>
    <col min="10758" max="10758" width="9.140625" style="232"/>
    <col min="10759" max="10759" width="13.28515625" style="232" customWidth="1"/>
    <col min="10760" max="10760" width="11.7109375" style="232" customWidth="1"/>
    <col min="10761" max="11009" width="9.140625" style="232"/>
    <col min="11010" max="11010" width="5.28515625" style="232" customWidth="1"/>
    <col min="11011" max="11011" width="57" style="232" customWidth="1"/>
    <col min="11012" max="11012" width="5" style="232" customWidth="1"/>
    <col min="11013" max="11013" width="7" style="232" customWidth="1"/>
    <col min="11014" max="11014" width="9.140625" style="232"/>
    <col min="11015" max="11015" width="13.28515625" style="232" customWidth="1"/>
    <col min="11016" max="11016" width="11.7109375" style="232" customWidth="1"/>
    <col min="11017" max="11265" width="9.140625" style="232"/>
    <col min="11266" max="11266" width="5.28515625" style="232" customWidth="1"/>
    <col min="11267" max="11267" width="57" style="232" customWidth="1"/>
    <col min="11268" max="11268" width="5" style="232" customWidth="1"/>
    <col min="11269" max="11269" width="7" style="232" customWidth="1"/>
    <col min="11270" max="11270" width="9.140625" style="232"/>
    <col min="11271" max="11271" width="13.28515625" style="232" customWidth="1"/>
    <col min="11272" max="11272" width="11.7109375" style="232" customWidth="1"/>
    <col min="11273" max="11521" width="9.140625" style="232"/>
    <col min="11522" max="11522" width="5.28515625" style="232" customWidth="1"/>
    <col min="11523" max="11523" width="57" style="232" customWidth="1"/>
    <col min="11524" max="11524" width="5" style="232" customWidth="1"/>
    <col min="11525" max="11525" width="7" style="232" customWidth="1"/>
    <col min="11526" max="11526" width="9.140625" style="232"/>
    <col min="11527" max="11527" width="13.28515625" style="232" customWidth="1"/>
    <col min="11528" max="11528" width="11.7109375" style="232" customWidth="1"/>
    <col min="11529" max="11777" width="9.140625" style="232"/>
    <col min="11778" max="11778" width="5.28515625" style="232" customWidth="1"/>
    <col min="11779" max="11779" width="57" style="232" customWidth="1"/>
    <col min="11780" max="11780" width="5" style="232" customWidth="1"/>
    <col min="11781" max="11781" width="7" style="232" customWidth="1"/>
    <col min="11782" max="11782" width="9.140625" style="232"/>
    <col min="11783" max="11783" width="13.28515625" style="232" customWidth="1"/>
    <col min="11784" max="11784" width="11.7109375" style="232" customWidth="1"/>
    <col min="11785" max="12033" width="9.140625" style="232"/>
    <col min="12034" max="12034" width="5.28515625" style="232" customWidth="1"/>
    <col min="12035" max="12035" width="57" style="232" customWidth="1"/>
    <col min="12036" max="12036" width="5" style="232" customWidth="1"/>
    <col min="12037" max="12037" width="7" style="232" customWidth="1"/>
    <col min="12038" max="12038" width="9.140625" style="232"/>
    <col min="12039" max="12039" width="13.28515625" style="232" customWidth="1"/>
    <col min="12040" max="12040" width="11.7109375" style="232" customWidth="1"/>
    <col min="12041" max="12289" width="9.140625" style="232"/>
    <col min="12290" max="12290" width="5.28515625" style="232" customWidth="1"/>
    <col min="12291" max="12291" width="57" style="232" customWidth="1"/>
    <col min="12292" max="12292" width="5" style="232" customWidth="1"/>
    <col min="12293" max="12293" width="7" style="232" customWidth="1"/>
    <col min="12294" max="12294" width="9.140625" style="232"/>
    <col min="12295" max="12295" width="13.28515625" style="232" customWidth="1"/>
    <col min="12296" max="12296" width="11.7109375" style="232" customWidth="1"/>
    <col min="12297" max="12545" width="9.140625" style="232"/>
    <col min="12546" max="12546" width="5.28515625" style="232" customWidth="1"/>
    <col min="12547" max="12547" width="57" style="232" customWidth="1"/>
    <col min="12548" max="12548" width="5" style="232" customWidth="1"/>
    <col min="12549" max="12549" width="7" style="232" customWidth="1"/>
    <col min="12550" max="12550" width="9.140625" style="232"/>
    <col min="12551" max="12551" width="13.28515625" style="232" customWidth="1"/>
    <col min="12552" max="12552" width="11.7109375" style="232" customWidth="1"/>
    <col min="12553" max="12801" width="9.140625" style="232"/>
    <col min="12802" max="12802" width="5.28515625" style="232" customWidth="1"/>
    <col min="12803" max="12803" width="57" style="232" customWidth="1"/>
    <col min="12804" max="12804" width="5" style="232" customWidth="1"/>
    <col min="12805" max="12805" width="7" style="232" customWidth="1"/>
    <col min="12806" max="12806" width="9.140625" style="232"/>
    <col min="12807" max="12807" width="13.28515625" style="232" customWidth="1"/>
    <col min="12808" max="12808" width="11.7109375" style="232" customWidth="1"/>
    <col min="12809" max="13057" width="9.140625" style="232"/>
    <col min="13058" max="13058" width="5.28515625" style="232" customWidth="1"/>
    <col min="13059" max="13059" width="57" style="232" customWidth="1"/>
    <col min="13060" max="13060" width="5" style="232" customWidth="1"/>
    <col min="13061" max="13061" width="7" style="232" customWidth="1"/>
    <col min="13062" max="13062" width="9.140625" style="232"/>
    <col min="13063" max="13063" width="13.28515625" style="232" customWidth="1"/>
    <col min="13064" max="13064" width="11.7109375" style="232" customWidth="1"/>
    <col min="13065" max="13313" width="9.140625" style="232"/>
    <col min="13314" max="13314" width="5.28515625" style="232" customWidth="1"/>
    <col min="13315" max="13315" width="57" style="232" customWidth="1"/>
    <col min="13316" max="13316" width="5" style="232" customWidth="1"/>
    <col min="13317" max="13317" width="7" style="232" customWidth="1"/>
    <col min="13318" max="13318" width="9.140625" style="232"/>
    <col min="13319" max="13319" width="13.28515625" style="232" customWidth="1"/>
    <col min="13320" max="13320" width="11.7109375" style="232" customWidth="1"/>
    <col min="13321" max="13569" width="9.140625" style="232"/>
    <col min="13570" max="13570" width="5.28515625" style="232" customWidth="1"/>
    <col min="13571" max="13571" width="57" style="232" customWidth="1"/>
    <col min="13572" max="13572" width="5" style="232" customWidth="1"/>
    <col min="13573" max="13573" width="7" style="232" customWidth="1"/>
    <col min="13574" max="13574" width="9.140625" style="232"/>
    <col min="13575" max="13575" width="13.28515625" style="232" customWidth="1"/>
    <col min="13576" max="13576" width="11.7109375" style="232" customWidth="1"/>
    <col min="13577" max="13825" width="9.140625" style="232"/>
    <col min="13826" max="13826" width="5.28515625" style="232" customWidth="1"/>
    <col min="13827" max="13827" width="57" style="232" customWidth="1"/>
    <col min="13828" max="13828" width="5" style="232" customWidth="1"/>
    <col min="13829" max="13829" width="7" style="232" customWidth="1"/>
    <col min="13830" max="13830" width="9.140625" style="232"/>
    <col min="13831" max="13831" width="13.28515625" style="232" customWidth="1"/>
    <col min="13832" max="13832" width="11.7109375" style="232" customWidth="1"/>
    <col min="13833" max="14081" width="9.140625" style="232"/>
    <col min="14082" max="14082" width="5.28515625" style="232" customWidth="1"/>
    <col min="14083" max="14083" width="57" style="232" customWidth="1"/>
    <col min="14084" max="14084" width="5" style="232" customWidth="1"/>
    <col min="14085" max="14085" width="7" style="232" customWidth="1"/>
    <col min="14086" max="14086" width="9.140625" style="232"/>
    <col min="14087" max="14087" width="13.28515625" style="232" customWidth="1"/>
    <col min="14088" max="14088" width="11.7109375" style="232" customWidth="1"/>
    <col min="14089" max="14337" width="9.140625" style="232"/>
    <col min="14338" max="14338" width="5.28515625" style="232" customWidth="1"/>
    <col min="14339" max="14339" width="57" style="232" customWidth="1"/>
    <col min="14340" max="14340" width="5" style="232" customWidth="1"/>
    <col min="14341" max="14341" width="7" style="232" customWidth="1"/>
    <col min="14342" max="14342" width="9.140625" style="232"/>
    <col min="14343" max="14343" width="13.28515625" style="232" customWidth="1"/>
    <col min="14344" max="14344" width="11.7109375" style="232" customWidth="1"/>
    <col min="14345" max="14593" width="9.140625" style="232"/>
    <col min="14594" max="14594" width="5.28515625" style="232" customWidth="1"/>
    <col min="14595" max="14595" width="57" style="232" customWidth="1"/>
    <col min="14596" max="14596" width="5" style="232" customWidth="1"/>
    <col min="14597" max="14597" width="7" style="232" customWidth="1"/>
    <col min="14598" max="14598" width="9.140625" style="232"/>
    <col min="14599" max="14599" width="13.28515625" style="232" customWidth="1"/>
    <col min="14600" max="14600" width="11.7109375" style="232" customWidth="1"/>
    <col min="14601" max="14849" width="9.140625" style="232"/>
    <col min="14850" max="14850" width="5.28515625" style="232" customWidth="1"/>
    <col min="14851" max="14851" width="57" style="232" customWidth="1"/>
    <col min="14852" max="14852" width="5" style="232" customWidth="1"/>
    <col min="14853" max="14853" width="7" style="232" customWidth="1"/>
    <col min="14854" max="14854" width="9.140625" style="232"/>
    <col min="14855" max="14855" width="13.28515625" style="232" customWidth="1"/>
    <col min="14856" max="14856" width="11.7109375" style="232" customWidth="1"/>
    <col min="14857" max="15105" width="9.140625" style="232"/>
    <col min="15106" max="15106" width="5.28515625" style="232" customWidth="1"/>
    <col min="15107" max="15107" width="57" style="232" customWidth="1"/>
    <col min="15108" max="15108" width="5" style="232" customWidth="1"/>
    <col min="15109" max="15109" width="7" style="232" customWidth="1"/>
    <col min="15110" max="15110" width="9.140625" style="232"/>
    <col min="15111" max="15111" width="13.28515625" style="232" customWidth="1"/>
    <col min="15112" max="15112" width="11.7109375" style="232" customWidth="1"/>
    <col min="15113" max="15361" width="9.140625" style="232"/>
    <col min="15362" max="15362" width="5.28515625" style="232" customWidth="1"/>
    <col min="15363" max="15363" width="57" style="232" customWidth="1"/>
    <col min="15364" max="15364" width="5" style="232" customWidth="1"/>
    <col min="15365" max="15365" width="7" style="232" customWidth="1"/>
    <col min="15366" max="15366" width="9.140625" style="232"/>
    <col min="15367" max="15367" width="13.28515625" style="232" customWidth="1"/>
    <col min="15368" max="15368" width="11.7109375" style="232" customWidth="1"/>
    <col min="15369" max="15617" width="9.140625" style="232"/>
    <col min="15618" max="15618" width="5.28515625" style="232" customWidth="1"/>
    <col min="15619" max="15619" width="57" style="232" customWidth="1"/>
    <col min="15620" max="15620" width="5" style="232" customWidth="1"/>
    <col min="15621" max="15621" width="7" style="232" customWidth="1"/>
    <col min="15622" max="15622" width="9.140625" style="232"/>
    <col min="15623" max="15623" width="13.28515625" style="232" customWidth="1"/>
    <col min="15624" max="15624" width="11.7109375" style="232" customWidth="1"/>
    <col min="15625" max="15873" width="9.140625" style="232"/>
    <col min="15874" max="15874" width="5.28515625" style="232" customWidth="1"/>
    <col min="15875" max="15875" width="57" style="232" customWidth="1"/>
    <col min="15876" max="15876" width="5" style="232" customWidth="1"/>
    <col min="15877" max="15877" width="7" style="232" customWidth="1"/>
    <col min="15878" max="15878" width="9.140625" style="232"/>
    <col min="15879" max="15879" width="13.28515625" style="232" customWidth="1"/>
    <col min="15880" max="15880" width="11.7109375" style="232" customWidth="1"/>
    <col min="15881" max="16129" width="9.140625" style="232"/>
    <col min="16130" max="16130" width="5.28515625" style="232" customWidth="1"/>
    <col min="16131" max="16131" width="57" style="232" customWidth="1"/>
    <col min="16132" max="16132" width="5" style="232" customWidth="1"/>
    <col min="16133" max="16133" width="7" style="232" customWidth="1"/>
    <col min="16134" max="16134" width="9.140625" style="232"/>
    <col min="16135" max="16135" width="13.28515625" style="232" customWidth="1"/>
    <col min="16136" max="16136" width="11.7109375" style="232" customWidth="1"/>
    <col min="16137" max="16384" width="9.140625" style="232"/>
  </cols>
  <sheetData>
    <row r="1" spans="1:17" s="213" customFormat="1" ht="51.75" customHeight="1" thickBot="1" x14ac:dyDescent="0.25">
      <c r="A1" s="1078"/>
      <c r="B1" s="1079"/>
      <c r="C1" s="1079"/>
      <c r="D1" s="1079"/>
      <c r="E1" s="1079"/>
      <c r="F1" s="1079"/>
      <c r="G1" s="1079"/>
      <c r="H1" s="1080"/>
    </row>
    <row r="2" spans="1:17" s="213" customFormat="1" ht="17.100000000000001" customHeight="1" x14ac:dyDescent="0.2">
      <c r="A2" s="1053" t="s">
        <v>870</v>
      </c>
      <c r="B2" s="1054"/>
      <c r="C2" s="1054"/>
      <c r="D2" s="1054"/>
      <c r="E2" s="1054"/>
      <c r="F2" s="1054"/>
      <c r="G2" s="1054"/>
      <c r="H2" s="1055"/>
    </row>
    <row r="3" spans="1:17" s="213" customFormat="1" ht="17.100000000000001" customHeight="1" x14ac:dyDescent="0.2">
      <c r="A3" s="896" t="s">
        <v>277</v>
      </c>
      <c r="B3" s="815"/>
      <c r="C3" s="815" t="e">
        <f>#REF!</f>
        <v>#REF!</v>
      </c>
      <c r="D3" s="815"/>
      <c r="E3" s="827" t="s">
        <v>339</v>
      </c>
      <c r="F3" s="827"/>
      <c r="G3" s="1081" t="e">
        <f>#REF!</f>
        <v>#REF!</v>
      </c>
      <c r="H3" s="1082"/>
    </row>
    <row r="4" spans="1:17" s="213" customFormat="1" ht="17.100000000000001" customHeight="1" x14ac:dyDescent="0.2">
      <c r="A4" s="896" t="s">
        <v>333</v>
      </c>
      <c r="B4" s="815"/>
      <c r="C4" s="815" t="str">
        <f>'[1]1. Resumo'!C8:F8</f>
        <v>Curitiba Pr.</v>
      </c>
      <c r="D4" s="815"/>
      <c r="E4" s="827" t="s">
        <v>895</v>
      </c>
      <c r="F4" s="827"/>
      <c r="G4" s="1068" t="e">
        <f>#REF!</f>
        <v>#REF!</v>
      </c>
      <c r="H4" s="1069"/>
    </row>
    <row r="5" spans="1:17" s="213" customFormat="1" ht="13.5" thickBot="1" x14ac:dyDescent="0.25">
      <c r="A5" s="1070"/>
      <c r="B5" s="1071"/>
      <c r="C5" s="1071"/>
      <c r="D5" s="1071"/>
      <c r="E5" s="1071"/>
      <c r="F5" s="1071"/>
      <c r="G5" s="1071"/>
      <c r="H5" s="1072"/>
      <c r="I5" s="229"/>
    </row>
    <row r="6" spans="1:17" ht="13.5" customHeight="1" thickBot="1" x14ac:dyDescent="0.25">
      <c r="A6" s="1073" t="s">
        <v>546</v>
      </c>
      <c r="B6" s="1074"/>
      <c r="C6" s="1074"/>
      <c r="D6" s="1075"/>
      <c r="E6" s="1075"/>
      <c r="F6" s="1075"/>
      <c r="G6" s="1075"/>
      <c r="H6" s="565"/>
    </row>
    <row r="7" spans="1:17" ht="24.75" thickBot="1" x14ac:dyDescent="0.25">
      <c r="A7" s="330" t="s">
        <v>0</v>
      </c>
      <c r="B7" s="1056" t="s">
        <v>1</v>
      </c>
      <c r="C7" s="1057"/>
      <c r="D7" s="331" t="s">
        <v>2</v>
      </c>
      <c r="E7" s="332" t="s">
        <v>3</v>
      </c>
      <c r="F7" s="333" t="s">
        <v>4</v>
      </c>
      <c r="G7" s="334" t="s">
        <v>5</v>
      </c>
      <c r="H7" s="312" t="s">
        <v>275</v>
      </c>
    </row>
    <row r="8" spans="1:17" ht="17.100000000000001" customHeight="1" x14ac:dyDescent="0.2">
      <c r="A8" s="328">
        <v>1</v>
      </c>
      <c r="B8" s="1058" t="s">
        <v>873</v>
      </c>
      <c r="C8" s="1059"/>
      <c r="D8" s="162"/>
      <c r="E8" s="301"/>
      <c r="F8" s="294"/>
      <c r="G8" s="294"/>
      <c r="H8" s="329"/>
    </row>
    <row r="9" spans="1:17" ht="17.100000000000001" customHeight="1" x14ac:dyDescent="0.2">
      <c r="A9" s="160" t="s">
        <v>6</v>
      </c>
      <c r="B9" s="1076" t="s">
        <v>305</v>
      </c>
      <c r="C9" s="1077"/>
      <c r="D9" s="287" t="s">
        <v>10</v>
      </c>
      <c r="E9" s="289">
        <f>'8B.1 V. Infilt. Mem Cal Cp65'!D12</f>
        <v>5.6800000000000006</v>
      </c>
      <c r="F9" s="744">
        <v>78.239999999999995</v>
      </c>
      <c r="G9" s="288">
        <f t="shared" ref="G9:G17" si="0">ROUND(E9*F9,2)</f>
        <v>444.4</v>
      </c>
      <c r="H9" s="210">
        <v>93358</v>
      </c>
      <c r="I9" s="566"/>
      <c r="J9" s="567"/>
      <c r="Q9" s="568"/>
    </row>
    <row r="10" spans="1:17" ht="17.100000000000001" customHeight="1" x14ac:dyDescent="0.2">
      <c r="A10" s="225" t="s">
        <v>8</v>
      </c>
      <c r="B10" s="1049" t="s">
        <v>828</v>
      </c>
      <c r="C10" s="1050"/>
      <c r="D10" s="226" t="s">
        <v>10</v>
      </c>
      <c r="E10" s="711">
        <f>'8B.1 V. Infilt. Mem Cal Cp65'!D27</f>
        <v>2.6</v>
      </c>
      <c r="F10" s="752">
        <f>'11. Composições'!G111</f>
        <v>80.807599999999994</v>
      </c>
      <c r="G10" s="288">
        <f t="shared" si="0"/>
        <v>210.1</v>
      </c>
      <c r="H10" s="738" t="s">
        <v>829</v>
      </c>
      <c r="J10" s="567"/>
      <c r="Q10" s="568"/>
    </row>
    <row r="11" spans="1:17" ht="30.75" customHeight="1" x14ac:dyDescent="0.2">
      <c r="A11" s="225" t="s">
        <v>23</v>
      </c>
      <c r="B11" s="1049" t="s">
        <v>831</v>
      </c>
      <c r="C11" s="1050"/>
      <c r="D11" s="290" t="s">
        <v>33</v>
      </c>
      <c r="E11" s="284">
        <f>'8B.1 V. Infilt. Mem Cal Cp65'!D34</f>
        <v>6</v>
      </c>
      <c r="F11" s="751">
        <f>'11. Composições'!G118</f>
        <v>13.0174</v>
      </c>
      <c r="G11" s="288">
        <f>ROUND(E11*F11,2)</f>
        <v>78.099999999999994</v>
      </c>
      <c r="H11" s="667" t="s">
        <v>833</v>
      </c>
      <c r="I11" s="566"/>
      <c r="J11" s="567"/>
      <c r="Q11" s="568"/>
    </row>
    <row r="12" spans="1:17" ht="17.100000000000001" customHeight="1" x14ac:dyDescent="0.2">
      <c r="A12" s="225" t="s">
        <v>24</v>
      </c>
      <c r="B12" s="939" t="s">
        <v>891</v>
      </c>
      <c r="C12" s="940"/>
      <c r="D12" s="226" t="s">
        <v>22</v>
      </c>
      <c r="E12" s="283">
        <v>1</v>
      </c>
      <c r="F12" s="744">
        <v>11.53</v>
      </c>
      <c r="G12" s="288">
        <f>ROUND(E12*F12,2)</f>
        <v>11.53</v>
      </c>
      <c r="H12" s="743" t="s">
        <v>890</v>
      </c>
      <c r="J12" s="567"/>
      <c r="Q12" s="568"/>
    </row>
    <row r="13" spans="1:17" s="234" customFormat="1" ht="30" customHeight="1" x14ac:dyDescent="0.2">
      <c r="A13" s="225" t="s">
        <v>25</v>
      </c>
      <c r="B13" s="1049" t="s">
        <v>837</v>
      </c>
      <c r="C13" s="1050"/>
      <c r="D13" s="226" t="s">
        <v>7</v>
      </c>
      <c r="E13" s="283">
        <f>'8B.1 V. Infilt. Mem Cal Cp65'!D36</f>
        <v>9.75</v>
      </c>
      <c r="F13" s="748">
        <v>4</v>
      </c>
      <c r="G13" s="288">
        <f>ROUND(E13*F13,2)</f>
        <v>39</v>
      </c>
      <c r="H13" s="747" t="s">
        <v>838</v>
      </c>
      <c r="J13" s="569"/>
      <c r="K13" s="232"/>
      <c r="L13" s="232"/>
      <c r="M13" s="232"/>
      <c r="N13" s="232"/>
      <c r="O13" s="232"/>
      <c r="P13" s="232"/>
      <c r="Q13" s="570"/>
    </row>
    <row r="14" spans="1:17" ht="34.5" customHeight="1" x14ac:dyDescent="0.2">
      <c r="A14" s="225" t="s">
        <v>26</v>
      </c>
      <c r="B14" s="1049" t="s">
        <v>832</v>
      </c>
      <c r="C14" s="1050"/>
      <c r="D14" s="226" t="s">
        <v>62</v>
      </c>
      <c r="E14" s="283">
        <f>'8B.1 V. Infilt. Mem Cal Cp65'!D44</f>
        <v>2.6</v>
      </c>
      <c r="F14" s="744">
        <v>47.44</v>
      </c>
      <c r="G14" s="288">
        <f t="shared" si="0"/>
        <v>123.34</v>
      </c>
      <c r="H14" s="227">
        <v>96995</v>
      </c>
      <c r="J14" s="567"/>
      <c r="Q14" s="568"/>
    </row>
    <row r="15" spans="1:17" ht="38.450000000000003" customHeight="1" x14ac:dyDescent="0.2">
      <c r="A15" s="225" t="s">
        <v>27</v>
      </c>
      <c r="B15" s="937" t="s">
        <v>746</v>
      </c>
      <c r="C15" s="947"/>
      <c r="D15" s="226" t="s">
        <v>33</v>
      </c>
      <c r="E15" s="283">
        <v>6</v>
      </c>
      <c r="F15" s="744">
        <v>60.33</v>
      </c>
      <c r="G15" s="281">
        <f t="shared" si="0"/>
        <v>361.98</v>
      </c>
      <c r="H15" s="743">
        <v>89714</v>
      </c>
      <c r="J15" s="567"/>
      <c r="Q15" s="568"/>
    </row>
    <row r="16" spans="1:17" ht="39.75" customHeight="1" x14ac:dyDescent="0.2">
      <c r="A16" s="225" t="s">
        <v>34</v>
      </c>
      <c r="B16" s="1049" t="s">
        <v>836</v>
      </c>
      <c r="C16" s="1050"/>
      <c r="D16" s="226" t="s">
        <v>22</v>
      </c>
      <c r="E16" s="283">
        <v>1</v>
      </c>
      <c r="F16" s="744">
        <v>50.21</v>
      </c>
      <c r="G16" s="288">
        <f t="shared" si="0"/>
        <v>50.21</v>
      </c>
      <c r="H16" s="214">
        <v>89797</v>
      </c>
      <c r="J16" s="567"/>
      <c r="Q16" s="753"/>
    </row>
    <row r="17" spans="1:17" ht="28.5" customHeight="1" thickBot="1" x14ac:dyDescent="0.25">
      <c r="A17" s="225" t="s">
        <v>40</v>
      </c>
      <c r="B17" s="1051" t="s">
        <v>906</v>
      </c>
      <c r="C17" s="1052"/>
      <c r="D17" s="228" t="s">
        <v>39</v>
      </c>
      <c r="E17" s="335">
        <v>1</v>
      </c>
      <c r="F17" s="750">
        <f>'11. Composições'!G104</f>
        <v>482.54994249999999</v>
      </c>
      <c r="G17" s="336">
        <f t="shared" si="0"/>
        <v>482.55</v>
      </c>
      <c r="H17" s="737" t="s">
        <v>760</v>
      </c>
      <c r="I17" s="218"/>
      <c r="J17" s="567"/>
      <c r="Q17" s="568"/>
    </row>
    <row r="18" spans="1:17" ht="13.5" thickBot="1" x14ac:dyDescent="0.25">
      <c r="A18" s="1047" t="s">
        <v>21</v>
      </c>
      <c r="B18" s="1048"/>
      <c r="C18" s="1048"/>
      <c r="D18" s="1048"/>
      <c r="E18" s="1048"/>
      <c r="F18" s="1048"/>
      <c r="G18" s="326">
        <f>SUM(G9:G17)</f>
        <v>1801.21</v>
      </c>
      <c r="H18" s="337"/>
      <c r="I18" s="571"/>
    </row>
    <row r="19" spans="1:17" x14ac:dyDescent="0.2">
      <c r="A19" s="158"/>
      <c r="B19" s="158"/>
      <c r="C19" s="158"/>
      <c r="D19" s="158"/>
      <c r="E19" s="268"/>
      <c r="F19" s="158"/>
      <c r="G19" s="158"/>
      <c r="H19" s="158"/>
    </row>
    <row r="20" spans="1:17" x14ac:dyDescent="0.2">
      <c r="B20" s="1066" t="s">
        <v>541</v>
      </c>
      <c r="C20" s="1066"/>
      <c r="D20" s="1066"/>
      <c r="E20" s="1066"/>
      <c r="F20" s="1066"/>
      <c r="G20" s="1066"/>
    </row>
    <row r="21" spans="1:17" x14ac:dyDescent="0.2">
      <c r="B21" s="1066" t="s">
        <v>542</v>
      </c>
      <c r="C21" s="1066"/>
      <c r="D21" s="1066"/>
      <c r="E21" s="1066"/>
      <c r="F21" s="1066"/>
      <c r="G21" s="1066"/>
    </row>
    <row r="22" spans="1:17" x14ac:dyDescent="0.2">
      <c r="A22" s="563"/>
      <c r="B22" s="1066" t="s">
        <v>543</v>
      </c>
      <c r="C22" s="1066"/>
      <c r="D22" s="1066"/>
      <c r="E22" s="1066"/>
      <c r="F22" s="1066"/>
      <c r="G22" s="1066"/>
    </row>
    <row r="23" spans="1:17" ht="24.75" customHeight="1" x14ac:dyDescent="0.2">
      <c r="A23" s="563"/>
      <c r="B23" s="1067" t="s">
        <v>544</v>
      </c>
      <c r="C23" s="1067"/>
      <c r="D23" s="1067"/>
      <c r="E23" s="1067"/>
      <c r="F23" s="1067"/>
      <c r="G23" s="1067"/>
      <c r="H23" s="212"/>
      <c r="I23" s="212"/>
    </row>
    <row r="24" spans="1:17" x14ac:dyDescent="0.2">
      <c r="B24" s="1066" t="s">
        <v>545</v>
      </c>
      <c r="C24" s="1066"/>
      <c r="D24" s="1066"/>
      <c r="E24" s="1066"/>
      <c r="F24" s="1066"/>
      <c r="G24" s="1066"/>
    </row>
    <row r="27" spans="1:17" ht="18" customHeight="1" x14ac:dyDescent="0.2">
      <c r="A27" s="953" t="s">
        <v>269</v>
      </c>
      <c r="B27" s="953"/>
      <c r="C27" s="953"/>
      <c r="D27" s="953"/>
      <c r="E27" s="953"/>
      <c r="F27" s="953"/>
      <c r="G27" s="953"/>
      <c r="H27" s="953"/>
    </row>
  </sheetData>
  <mergeCells count="30">
    <mergeCell ref="A1:H1"/>
    <mergeCell ref="A2:H2"/>
    <mergeCell ref="A3:B3"/>
    <mergeCell ref="C3:D3"/>
    <mergeCell ref="E3:F3"/>
    <mergeCell ref="G3:H3"/>
    <mergeCell ref="B12:C12"/>
    <mergeCell ref="A4:B4"/>
    <mergeCell ref="C4:D4"/>
    <mergeCell ref="E4:F4"/>
    <mergeCell ref="G4:H4"/>
    <mergeCell ref="A5:H5"/>
    <mergeCell ref="A6:G6"/>
    <mergeCell ref="B7:C7"/>
    <mergeCell ref="B8:C8"/>
    <mergeCell ref="B9:C9"/>
    <mergeCell ref="B10:C10"/>
    <mergeCell ref="B11:C11"/>
    <mergeCell ref="A27:H27"/>
    <mergeCell ref="B13:C13"/>
    <mergeCell ref="B14:C14"/>
    <mergeCell ref="B15:C15"/>
    <mergeCell ref="B16:C16"/>
    <mergeCell ref="B17:C17"/>
    <mergeCell ref="A18:F18"/>
    <mergeCell ref="B20:G20"/>
    <mergeCell ref="B21:G21"/>
    <mergeCell ref="B22:G22"/>
    <mergeCell ref="B23:G23"/>
    <mergeCell ref="B24:G24"/>
  </mergeCells>
  <printOptions horizontalCentered="1"/>
  <pageMargins left="0.51181102362204722" right="0.51181102362204722" top="0.78740157480314965" bottom="0.78740157480314965" header="0.31496062992125984" footer="0.31496062992125984"/>
  <pageSetup paperSize="9" orientation="landscape"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N58"/>
  <sheetViews>
    <sheetView workbookViewId="0">
      <selection sqref="A1:L1"/>
    </sheetView>
  </sheetViews>
  <sheetFormatPr defaultRowHeight="12.75" x14ac:dyDescent="0.2"/>
  <cols>
    <col min="1" max="1" width="6.140625" style="232" customWidth="1"/>
    <col min="2" max="2" width="59.28515625" style="232" customWidth="1"/>
    <col min="3" max="3" width="5.85546875" style="232" customWidth="1"/>
    <col min="4" max="4" width="9.5703125" style="564" customWidth="1"/>
    <col min="5" max="5" width="10.7109375" style="232" customWidth="1"/>
    <col min="6" max="6" width="13.28515625" style="232" customWidth="1"/>
    <col min="7" max="7" width="11.7109375" style="232" customWidth="1"/>
    <col min="8" max="11" width="9.140625" style="232"/>
    <col min="12" max="12" width="35.7109375" style="232" customWidth="1"/>
    <col min="13" max="256" width="9.140625" style="232"/>
    <col min="257" max="257" width="5.28515625" style="232" customWidth="1"/>
    <col min="258" max="258" width="57" style="232" customWidth="1"/>
    <col min="259" max="259" width="5" style="232" customWidth="1"/>
    <col min="260" max="260" width="7" style="232" customWidth="1"/>
    <col min="261" max="261" width="9.140625" style="232"/>
    <col min="262" max="262" width="13.28515625" style="232" customWidth="1"/>
    <col min="263" max="263" width="11.7109375" style="232" customWidth="1"/>
    <col min="264" max="512" width="9.140625" style="232"/>
    <col min="513" max="513" width="5.28515625" style="232" customWidth="1"/>
    <col min="514" max="514" width="57" style="232" customWidth="1"/>
    <col min="515" max="515" width="5" style="232" customWidth="1"/>
    <col min="516" max="516" width="7" style="232" customWidth="1"/>
    <col min="517" max="517" width="9.140625" style="232"/>
    <col min="518" max="518" width="13.28515625" style="232" customWidth="1"/>
    <col min="519" max="519" width="11.7109375" style="232" customWidth="1"/>
    <col min="520" max="768" width="9.140625" style="232"/>
    <col min="769" max="769" width="5.28515625" style="232" customWidth="1"/>
    <col min="770" max="770" width="57" style="232" customWidth="1"/>
    <col min="771" max="771" width="5" style="232" customWidth="1"/>
    <col min="772" max="772" width="7" style="232" customWidth="1"/>
    <col min="773" max="773" width="9.140625" style="232"/>
    <col min="774" max="774" width="13.28515625" style="232" customWidth="1"/>
    <col min="775" max="775" width="11.7109375" style="232" customWidth="1"/>
    <col min="776" max="1024" width="9.140625" style="232"/>
    <col min="1025" max="1025" width="5.28515625" style="232" customWidth="1"/>
    <col min="1026" max="1026" width="57" style="232" customWidth="1"/>
    <col min="1027" max="1027" width="5" style="232" customWidth="1"/>
    <col min="1028" max="1028" width="7" style="232" customWidth="1"/>
    <col min="1029" max="1029" width="9.140625" style="232"/>
    <col min="1030" max="1030" width="13.28515625" style="232" customWidth="1"/>
    <col min="1031" max="1031" width="11.7109375" style="232" customWidth="1"/>
    <col min="1032" max="1280" width="9.140625" style="232"/>
    <col min="1281" max="1281" width="5.28515625" style="232" customWidth="1"/>
    <col min="1282" max="1282" width="57" style="232" customWidth="1"/>
    <col min="1283" max="1283" width="5" style="232" customWidth="1"/>
    <col min="1284" max="1284" width="7" style="232" customWidth="1"/>
    <col min="1285" max="1285" width="9.140625" style="232"/>
    <col min="1286" max="1286" width="13.28515625" style="232" customWidth="1"/>
    <col min="1287" max="1287" width="11.7109375" style="232" customWidth="1"/>
    <col min="1288" max="1536" width="9.140625" style="232"/>
    <col min="1537" max="1537" width="5.28515625" style="232" customWidth="1"/>
    <col min="1538" max="1538" width="57" style="232" customWidth="1"/>
    <col min="1539" max="1539" width="5" style="232" customWidth="1"/>
    <col min="1540" max="1540" width="7" style="232" customWidth="1"/>
    <col min="1541" max="1541" width="9.140625" style="232"/>
    <col min="1542" max="1542" width="13.28515625" style="232" customWidth="1"/>
    <col min="1543" max="1543" width="11.7109375" style="232" customWidth="1"/>
    <col min="1544" max="1792" width="9.140625" style="232"/>
    <col min="1793" max="1793" width="5.28515625" style="232" customWidth="1"/>
    <col min="1794" max="1794" width="57" style="232" customWidth="1"/>
    <col min="1795" max="1795" width="5" style="232" customWidth="1"/>
    <col min="1796" max="1796" width="7" style="232" customWidth="1"/>
    <col min="1797" max="1797" width="9.140625" style="232"/>
    <col min="1798" max="1798" width="13.28515625" style="232" customWidth="1"/>
    <col min="1799" max="1799" width="11.7109375" style="232" customWidth="1"/>
    <col min="1800" max="2048" width="9.140625" style="232"/>
    <col min="2049" max="2049" width="5.28515625" style="232" customWidth="1"/>
    <col min="2050" max="2050" width="57" style="232" customWidth="1"/>
    <col min="2051" max="2051" width="5" style="232" customWidth="1"/>
    <col min="2052" max="2052" width="7" style="232" customWidth="1"/>
    <col min="2053" max="2053" width="9.140625" style="232"/>
    <col min="2054" max="2054" width="13.28515625" style="232" customWidth="1"/>
    <col min="2055" max="2055" width="11.7109375" style="232" customWidth="1"/>
    <col min="2056" max="2304" width="9.140625" style="232"/>
    <col min="2305" max="2305" width="5.28515625" style="232" customWidth="1"/>
    <col min="2306" max="2306" width="57" style="232" customWidth="1"/>
    <col min="2307" max="2307" width="5" style="232" customWidth="1"/>
    <col min="2308" max="2308" width="7" style="232" customWidth="1"/>
    <col min="2309" max="2309" width="9.140625" style="232"/>
    <col min="2310" max="2310" width="13.28515625" style="232" customWidth="1"/>
    <col min="2311" max="2311" width="11.7109375" style="232" customWidth="1"/>
    <col min="2312" max="2560" width="9.140625" style="232"/>
    <col min="2561" max="2561" width="5.28515625" style="232" customWidth="1"/>
    <col min="2562" max="2562" width="57" style="232" customWidth="1"/>
    <col min="2563" max="2563" width="5" style="232" customWidth="1"/>
    <col min="2564" max="2564" width="7" style="232" customWidth="1"/>
    <col min="2565" max="2565" width="9.140625" style="232"/>
    <col min="2566" max="2566" width="13.28515625" style="232" customWidth="1"/>
    <col min="2567" max="2567" width="11.7109375" style="232" customWidth="1"/>
    <col min="2568" max="2816" width="9.140625" style="232"/>
    <col min="2817" max="2817" width="5.28515625" style="232" customWidth="1"/>
    <col min="2818" max="2818" width="57" style="232" customWidth="1"/>
    <col min="2819" max="2819" width="5" style="232" customWidth="1"/>
    <col min="2820" max="2820" width="7" style="232" customWidth="1"/>
    <col min="2821" max="2821" width="9.140625" style="232"/>
    <col min="2822" max="2822" width="13.28515625" style="232" customWidth="1"/>
    <col min="2823" max="2823" width="11.7109375" style="232" customWidth="1"/>
    <col min="2824" max="3072" width="9.140625" style="232"/>
    <col min="3073" max="3073" width="5.28515625" style="232" customWidth="1"/>
    <col min="3074" max="3074" width="57" style="232" customWidth="1"/>
    <col min="3075" max="3075" width="5" style="232" customWidth="1"/>
    <col min="3076" max="3076" width="7" style="232" customWidth="1"/>
    <col min="3077" max="3077" width="9.140625" style="232"/>
    <col min="3078" max="3078" width="13.28515625" style="232" customWidth="1"/>
    <col min="3079" max="3079" width="11.7109375" style="232" customWidth="1"/>
    <col min="3080" max="3328" width="9.140625" style="232"/>
    <col min="3329" max="3329" width="5.28515625" style="232" customWidth="1"/>
    <col min="3330" max="3330" width="57" style="232" customWidth="1"/>
    <col min="3331" max="3331" width="5" style="232" customWidth="1"/>
    <col min="3332" max="3332" width="7" style="232" customWidth="1"/>
    <col min="3333" max="3333" width="9.140625" style="232"/>
    <col min="3334" max="3334" width="13.28515625" style="232" customWidth="1"/>
    <col min="3335" max="3335" width="11.7109375" style="232" customWidth="1"/>
    <col min="3336" max="3584" width="9.140625" style="232"/>
    <col min="3585" max="3585" width="5.28515625" style="232" customWidth="1"/>
    <col min="3586" max="3586" width="57" style="232" customWidth="1"/>
    <col min="3587" max="3587" width="5" style="232" customWidth="1"/>
    <col min="3588" max="3588" width="7" style="232" customWidth="1"/>
    <col min="3589" max="3589" width="9.140625" style="232"/>
    <col min="3590" max="3590" width="13.28515625" style="232" customWidth="1"/>
    <col min="3591" max="3591" width="11.7109375" style="232" customWidth="1"/>
    <col min="3592" max="3840" width="9.140625" style="232"/>
    <col min="3841" max="3841" width="5.28515625" style="232" customWidth="1"/>
    <col min="3842" max="3842" width="57" style="232" customWidth="1"/>
    <col min="3843" max="3843" width="5" style="232" customWidth="1"/>
    <col min="3844" max="3844" width="7" style="232" customWidth="1"/>
    <col min="3845" max="3845" width="9.140625" style="232"/>
    <col min="3846" max="3846" width="13.28515625" style="232" customWidth="1"/>
    <col min="3847" max="3847" width="11.7109375" style="232" customWidth="1"/>
    <col min="3848" max="4096" width="9.140625" style="232"/>
    <col min="4097" max="4097" width="5.28515625" style="232" customWidth="1"/>
    <col min="4098" max="4098" width="57" style="232" customWidth="1"/>
    <col min="4099" max="4099" width="5" style="232" customWidth="1"/>
    <col min="4100" max="4100" width="7" style="232" customWidth="1"/>
    <col min="4101" max="4101" width="9.140625" style="232"/>
    <col min="4102" max="4102" width="13.28515625" style="232" customWidth="1"/>
    <col min="4103" max="4103" width="11.7109375" style="232" customWidth="1"/>
    <col min="4104" max="4352" width="9.140625" style="232"/>
    <col min="4353" max="4353" width="5.28515625" style="232" customWidth="1"/>
    <col min="4354" max="4354" width="57" style="232" customWidth="1"/>
    <col min="4355" max="4355" width="5" style="232" customWidth="1"/>
    <col min="4356" max="4356" width="7" style="232" customWidth="1"/>
    <col min="4357" max="4357" width="9.140625" style="232"/>
    <col min="4358" max="4358" width="13.28515625" style="232" customWidth="1"/>
    <col min="4359" max="4359" width="11.7109375" style="232" customWidth="1"/>
    <col min="4360" max="4608" width="9.140625" style="232"/>
    <col min="4609" max="4609" width="5.28515625" style="232" customWidth="1"/>
    <col min="4610" max="4610" width="57" style="232" customWidth="1"/>
    <col min="4611" max="4611" width="5" style="232" customWidth="1"/>
    <col min="4612" max="4612" width="7" style="232" customWidth="1"/>
    <col min="4613" max="4613" width="9.140625" style="232"/>
    <col min="4614" max="4614" width="13.28515625" style="232" customWidth="1"/>
    <col min="4615" max="4615" width="11.7109375" style="232" customWidth="1"/>
    <col min="4616" max="4864" width="9.140625" style="232"/>
    <col min="4865" max="4865" width="5.28515625" style="232" customWidth="1"/>
    <col min="4866" max="4866" width="57" style="232" customWidth="1"/>
    <col min="4867" max="4867" width="5" style="232" customWidth="1"/>
    <col min="4868" max="4868" width="7" style="232" customWidth="1"/>
    <col min="4869" max="4869" width="9.140625" style="232"/>
    <col min="4870" max="4870" width="13.28515625" style="232" customWidth="1"/>
    <col min="4871" max="4871" width="11.7109375" style="232" customWidth="1"/>
    <col min="4872" max="5120" width="9.140625" style="232"/>
    <col min="5121" max="5121" width="5.28515625" style="232" customWidth="1"/>
    <col min="5122" max="5122" width="57" style="232" customWidth="1"/>
    <col min="5123" max="5123" width="5" style="232" customWidth="1"/>
    <col min="5124" max="5124" width="7" style="232" customWidth="1"/>
    <col min="5125" max="5125" width="9.140625" style="232"/>
    <col min="5126" max="5126" width="13.28515625" style="232" customWidth="1"/>
    <col min="5127" max="5127" width="11.7109375" style="232" customWidth="1"/>
    <col min="5128" max="5376" width="9.140625" style="232"/>
    <col min="5377" max="5377" width="5.28515625" style="232" customWidth="1"/>
    <col min="5378" max="5378" width="57" style="232" customWidth="1"/>
    <col min="5379" max="5379" width="5" style="232" customWidth="1"/>
    <col min="5380" max="5380" width="7" style="232" customWidth="1"/>
    <col min="5381" max="5381" width="9.140625" style="232"/>
    <col min="5382" max="5382" width="13.28515625" style="232" customWidth="1"/>
    <col min="5383" max="5383" width="11.7109375" style="232" customWidth="1"/>
    <col min="5384" max="5632" width="9.140625" style="232"/>
    <col min="5633" max="5633" width="5.28515625" style="232" customWidth="1"/>
    <col min="5634" max="5634" width="57" style="232" customWidth="1"/>
    <col min="5635" max="5635" width="5" style="232" customWidth="1"/>
    <col min="5636" max="5636" width="7" style="232" customWidth="1"/>
    <col min="5637" max="5637" width="9.140625" style="232"/>
    <col min="5638" max="5638" width="13.28515625" style="232" customWidth="1"/>
    <col min="5639" max="5639" width="11.7109375" style="232" customWidth="1"/>
    <col min="5640" max="5888" width="9.140625" style="232"/>
    <col min="5889" max="5889" width="5.28515625" style="232" customWidth="1"/>
    <col min="5890" max="5890" width="57" style="232" customWidth="1"/>
    <col min="5891" max="5891" width="5" style="232" customWidth="1"/>
    <col min="5892" max="5892" width="7" style="232" customWidth="1"/>
    <col min="5893" max="5893" width="9.140625" style="232"/>
    <col min="5894" max="5894" width="13.28515625" style="232" customWidth="1"/>
    <col min="5895" max="5895" width="11.7109375" style="232" customWidth="1"/>
    <col min="5896" max="6144" width="9.140625" style="232"/>
    <col min="6145" max="6145" width="5.28515625" style="232" customWidth="1"/>
    <col min="6146" max="6146" width="57" style="232" customWidth="1"/>
    <col min="6147" max="6147" width="5" style="232" customWidth="1"/>
    <col min="6148" max="6148" width="7" style="232" customWidth="1"/>
    <col min="6149" max="6149" width="9.140625" style="232"/>
    <col min="6150" max="6150" width="13.28515625" style="232" customWidth="1"/>
    <col min="6151" max="6151" width="11.7109375" style="232" customWidth="1"/>
    <col min="6152" max="6400" width="9.140625" style="232"/>
    <col min="6401" max="6401" width="5.28515625" style="232" customWidth="1"/>
    <col min="6402" max="6402" width="57" style="232" customWidth="1"/>
    <col min="6403" max="6403" width="5" style="232" customWidth="1"/>
    <col min="6404" max="6404" width="7" style="232" customWidth="1"/>
    <col min="6405" max="6405" width="9.140625" style="232"/>
    <col min="6406" max="6406" width="13.28515625" style="232" customWidth="1"/>
    <col min="6407" max="6407" width="11.7109375" style="232" customWidth="1"/>
    <col min="6408" max="6656" width="9.140625" style="232"/>
    <col min="6657" max="6657" width="5.28515625" style="232" customWidth="1"/>
    <col min="6658" max="6658" width="57" style="232" customWidth="1"/>
    <col min="6659" max="6659" width="5" style="232" customWidth="1"/>
    <col min="6660" max="6660" width="7" style="232" customWidth="1"/>
    <col min="6661" max="6661" width="9.140625" style="232"/>
    <col min="6662" max="6662" width="13.28515625" style="232" customWidth="1"/>
    <col min="6663" max="6663" width="11.7109375" style="232" customWidth="1"/>
    <col min="6664" max="6912" width="9.140625" style="232"/>
    <col min="6913" max="6913" width="5.28515625" style="232" customWidth="1"/>
    <col min="6914" max="6914" width="57" style="232" customWidth="1"/>
    <col min="6915" max="6915" width="5" style="232" customWidth="1"/>
    <col min="6916" max="6916" width="7" style="232" customWidth="1"/>
    <col min="6917" max="6917" width="9.140625" style="232"/>
    <col min="6918" max="6918" width="13.28515625" style="232" customWidth="1"/>
    <col min="6919" max="6919" width="11.7109375" style="232" customWidth="1"/>
    <col min="6920" max="7168" width="9.140625" style="232"/>
    <col min="7169" max="7169" width="5.28515625" style="232" customWidth="1"/>
    <col min="7170" max="7170" width="57" style="232" customWidth="1"/>
    <col min="7171" max="7171" width="5" style="232" customWidth="1"/>
    <col min="7172" max="7172" width="7" style="232" customWidth="1"/>
    <col min="7173" max="7173" width="9.140625" style="232"/>
    <col min="7174" max="7174" width="13.28515625" style="232" customWidth="1"/>
    <col min="7175" max="7175" width="11.7109375" style="232" customWidth="1"/>
    <col min="7176" max="7424" width="9.140625" style="232"/>
    <col min="7425" max="7425" width="5.28515625" style="232" customWidth="1"/>
    <col min="7426" max="7426" width="57" style="232" customWidth="1"/>
    <col min="7427" max="7427" width="5" style="232" customWidth="1"/>
    <col min="7428" max="7428" width="7" style="232" customWidth="1"/>
    <col min="7429" max="7429" width="9.140625" style="232"/>
    <col min="7430" max="7430" width="13.28515625" style="232" customWidth="1"/>
    <col min="7431" max="7431" width="11.7109375" style="232" customWidth="1"/>
    <col min="7432" max="7680" width="9.140625" style="232"/>
    <col min="7681" max="7681" width="5.28515625" style="232" customWidth="1"/>
    <col min="7682" max="7682" width="57" style="232" customWidth="1"/>
    <col min="7683" max="7683" width="5" style="232" customWidth="1"/>
    <col min="7684" max="7684" width="7" style="232" customWidth="1"/>
    <col min="7685" max="7685" width="9.140625" style="232"/>
    <col min="7686" max="7686" width="13.28515625" style="232" customWidth="1"/>
    <col min="7687" max="7687" width="11.7109375" style="232" customWidth="1"/>
    <col min="7688" max="7936" width="9.140625" style="232"/>
    <col min="7937" max="7937" width="5.28515625" style="232" customWidth="1"/>
    <col min="7938" max="7938" width="57" style="232" customWidth="1"/>
    <col min="7939" max="7939" width="5" style="232" customWidth="1"/>
    <col min="7940" max="7940" width="7" style="232" customWidth="1"/>
    <col min="7941" max="7941" width="9.140625" style="232"/>
    <col min="7942" max="7942" width="13.28515625" style="232" customWidth="1"/>
    <col min="7943" max="7943" width="11.7109375" style="232" customWidth="1"/>
    <col min="7944" max="8192" width="9.140625" style="232"/>
    <col min="8193" max="8193" width="5.28515625" style="232" customWidth="1"/>
    <col min="8194" max="8194" width="57" style="232" customWidth="1"/>
    <col min="8195" max="8195" width="5" style="232" customWidth="1"/>
    <col min="8196" max="8196" width="7" style="232" customWidth="1"/>
    <col min="8197" max="8197" width="9.140625" style="232"/>
    <col min="8198" max="8198" width="13.28515625" style="232" customWidth="1"/>
    <col min="8199" max="8199" width="11.7109375" style="232" customWidth="1"/>
    <col min="8200" max="8448" width="9.140625" style="232"/>
    <col min="8449" max="8449" width="5.28515625" style="232" customWidth="1"/>
    <col min="8450" max="8450" width="57" style="232" customWidth="1"/>
    <col min="8451" max="8451" width="5" style="232" customWidth="1"/>
    <col min="8452" max="8452" width="7" style="232" customWidth="1"/>
    <col min="8453" max="8453" width="9.140625" style="232"/>
    <col min="8454" max="8454" width="13.28515625" style="232" customWidth="1"/>
    <col min="8455" max="8455" width="11.7109375" style="232" customWidth="1"/>
    <col min="8456" max="8704" width="9.140625" style="232"/>
    <col min="8705" max="8705" width="5.28515625" style="232" customWidth="1"/>
    <col min="8706" max="8706" width="57" style="232" customWidth="1"/>
    <col min="8707" max="8707" width="5" style="232" customWidth="1"/>
    <col min="8708" max="8708" width="7" style="232" customWidth="1"/>
    <col min="8709" max="8709" width="9.140625" style="232"/>
    <col min="8710" max="8710" width="13.28515625" style="232" customWidth="1"/>
    <col min="8711" max="8711" width="11.7109375" style="232" customWidth="1"/>
    <col min="8712" max="8960" width="9.140625" style="232"/>
    <col min="8961" max="8961" width="5.28515625" style="232" customWidth="1"/>
    <col min="8962" max="8962" width="57" style="232" customWidth="1"/>
    <col min="8963" max="8963" width="5" style="232" customWidth="1"/>
    <col min="8964" max="8964" width="7" style="232" customWidth="1"/>
    <col min="8965" max="8965" width="9.140625" style="232"/>
    <col min="8966" max="8966" width="13.28515625" style="232" customWidth="1"/>
    <col min="8967" max="8967" width="11.7109375" style="232" customWidth="1"/>
    <col min="8968" max="9216" width="9.140625" style="232"/>
    <col min="9217" max="9217" width="5.28515625" style="232" customWidth="1"/>
    <col min="9218" max="9218" width="57" style="232" customWidth="1"/>
    <col min="9219" max="9219" width="5" style="232" customWidth="1"/>
    <col min="9220" max="9220" width="7" style="232" customWidth="1"/>
    <col min="9221" max="9221" width="9.140625" style="232"/>
    <col min="9222" max="9222" width="13.28515625" style="232" customWidth="1"/>
    <col min="9223" max="9223" width="11.7109375" style="232" customWidth="1"/>
    <col min="9224" max="9472" width="9.140625" style="232"/>
    <col min="9473" max="9473" width="5.28515625" style="232" customWidth="1"/>
    <col min="9474" max="9474" width="57" style="232" customWidth="1"/>
    <col min="9475" max="9475" width="5" style="232" customWidth="1"/>
    <col min="9476" max="9476" width="7" style="232" customWidth="1"/>
    <col min="9477" max="9477" width="9.140625" style="232"/>
    <col min="9478" max="9478" width="13.28515625" style="232" customWidth="1"/>
    <col min="9479" max="9479" width="11.7109375" style="232" customWidth="1"/>
    <col min="9480" max="9728" width="9.140625" style="232"/>
    <col min="9729" max="9729" width="5.28515625" style="232" customWidth="1"/>
    <col min="9730" max="9730" width="57" style="232" customWidth="1"/>
    <col min="9731" max="9731" width="5" style="232" customWidth="1"/>
    <col min="9732" max="9732" width="7" style="232" customWidth="1"/>
    <col min="9733" max="9733" width="9.140625" style="232"/>
    <col min="9734" max="9734" width="13.28515625" style="232" customWidth="1"/>
    <col min="9735" max="9735" width="11.7109375" style="232" customWidth="1"/>
    <col min="9736" max="9984" width="9.140625" style="232"/>
    <col min="9985" max="9985" width="5.28515625" style="232" customWidth="1"/>
    <col min="9986" max="9986" width="57" style="232" customWidth="1"/>
    <col min="9987" max="9987" width="5" style="232" customWidth="1"/>
    <col min="9988" max="9988" width="7" style="232" customWidth="1"/>
    <col min="9989" max="9989" width="9.140625" style="232"/>
    <col min="9990" max="9990" width="13.28515625" style="232" customWidth="1"/>
    <col min="9991" max="9991" width="11.7109375" style="232" customWidth="1"/>
    <col min="9992" max="10240" width="9.140625" style="232"/>
    <col min="10241" max="10241" width="5.28515625" style="232" customWidth="1"/>
    <col min="10242" max="10242" width="57" style="232" customWidth="1"/>
    <col min="10243" max="10243" width="5" style="232" customWidth="1"/>
    <col min="10244" max="10244" width="7" style="232" customWidth="1"/>
    <col min="10245" max="10245" width="9.140625" style="232"/>
    <col min="10246" max="10246" width="13.28515625" style="232" customWidth="1"/>
    <col min="10247" max="10247" width="11.7109375" style="232" customWidth="1"/>
    <col min="10248" max="10496" width="9.140625" style="232"/>
    <col min="10497" max="10497" width="5.28515625" style="232" customWidth="1"/>
    <col min="10498" max="10498" width="57" style="232" customWidth="1"/>
    <col min="10499" max="10499" width="5" style="232" customWidth="1"/>
    <col min="10500" max="10500" width="7" style="232" customWidth="1"/>
    <col min="10501" max="10501" width="9.140625" style="232"/>
    <col min="10502" max="10502" width="13.28515625" style="232" customWidth="1"/>
    <col min="10503" max="10503" width="11.7109375" style="232" customWidth="1"/>
    <col min="10504" max="10752" width="9.140625" style="232"/>
    <col min="10753" max="10753" width="5.28515625" style="232" customWidth="1"/>
    <col min="10754" max="10754" width="57" style="232" customWidth="1"/>
    <col min="10755" max="10755" width="5" style="232" customWidth="1"/>
    <col min="10756" max="10756" width="7" style="232" customWidth="1"/>
    <col min="10757" max="10757" width="9.140625" style="232"/>
    <col min="10758" max="10758" width="13.28515625" style="232" customWidth="1"/>
    <col min="10759" max="10759" width="11.7109375" style="232" customWidth="1"/>
    <col min="10760" max="11008" width="9.140625" style="232"/>
    <col min="11009" max="11009" width="5.28515625" style="232" customWidth="1"/>
    <col min="11010" max="11010" width="57" style="232" customWidth="1"/>
    <col min="11011" max="11011" width="5" style="232" customWidth="1"/>
    <col min="11012" max="11012" width="7" style="232" customWidth="1"/>
    <col min="11013" max="11013" width="9.140625" style="232"/>
    <col min="11014" max="11014" width="13.28515625" style="232" customWidth="1"/>
    <col min="11015" max="11015" width="11.7109375" style="232" customWidth="1"/>
    <col min="11016" max="11264" width="9.140625" style="232"/>
    <col min="11265" max="11265" width="5.28515625" style="232" customWidth="1"/>
    <col min="11266" max="11266" width="57" style="232" customWidth="1"/>
    <col min="11267" max="11267" width="5" style="232" customWidth="1"/>
    <col min="11268" max="11268" width="7" style="232" customWidth="1"/>
    <col min="11269" max="11269" width="9.140625" style="232"/>
    <col min="11270" max="11270" width="13.28515625" style="232" customWidth="1"/>
    <col min="11271" max="11271" width="11.7109375" style="232" customWidth="1"/>
    <col min="11272" max="11520" width="9.140625" style="232"/>
    <col min="11521" max="11521" width="5.28515625" style="232" customWidth="1"/>
    <col min="11522" max="11522" width="57" style="232" customWidth="1"/>
    <col min="11523" max="11523" width="5" style="232" customWidth="1"/>
    <col min="11524" max="11524" width="7" style="232" customWidth="1"/>
    <col min="11525" max="11525" width="9.140625" style="232"/>
    <col min="11526" max="11526" width="13.28515625" style="232" customWidth="1"/>
    <col min="11527" max="11527" width="11.7109375" style="232" customWidth="1"/>
    <col min="11528" max="11776" width="9.140625" style="232"/>
    <col min="11777" max="11777" width="5.28515625" style="232" customWidth="1"/>
    <col min="11778" max="11778" width="57" style="232" customWidth="1"/>
    <col min="11779" max="11779" width="5" style="232" customWidth="1"/>
    <col min="11780" max="11780" width="7" style="232" customWidth="1"/>
    <col min="11781" max="11781" width="9.140625" style="232"/>
    <col min="11782" max="11782" width="13.28515625" style="232" customWidth="1"/>
    <col min="11783" max="11783" width="11.7109375" style="232" customWidth="1"/>
    <col min="11784" max="12032" width="9.140625" style="232"/>
    <col min="12033" max="12033" width="5.28515625" style="232" customWidth="1"/>
    <col min="12034" max="12034" width="57" style="232" customWidth="1"/>
    <col min="12035" max="12035" width="5" style="232" customWidth="1"/>
    <col min="12036" max="12036" width="7" style="232" customWidth="1"/>
    <col min="12037" max="12037" width="9.140625" style="232"/>
    <col min="12038" max="12038" width="13.28515625" style="232" customWidth="1"/>
    <col min="12039" max="12039" width="11.7109375" style="232" customWidth="1"/>
    <col min="12040" max="12288" width="9.140625" style="232"/>
    <col min="12289" max="12289" width="5.28515625" style="232" customWidth="1"/>
    <col min="12290" max="12290" width="57" style="232" customWidth="1"/>
    <col min="12291" max="12291" width="5" style="232" customWidth="1"/>
    <col min="12292" max="12292" width="7" style="232" customWidth="1"/>
    <col min="12293" max="12293" width="9.140625" style="232"/>
    <col min="12294" max="12294" width="13.28515625" style="232" customWidth="1"/>
    <col min="12295" max="12295" width="11.7109375" style="232" customWidth="1"/>
    <col min="12296" max="12544" width="9.140625" style="232"/>
    <col min="12545" max="12545" width="5.28515625" style="232" customWidth="1"/>
    <col min="12546" max="12546" width="57" style="232" customWidth="1"/>
    <col min="12547" max="12547" width="5" style="232" customWidth="1"/>
    <col min="12548" max="12548" width="7" style="232" customWidth="1"/>
    <col min="12549" max="12549" width="9.140625" style="232"/>
    <col min="12550" max="12550" width="13.28515625" style="232" customWidth="1"/>
    <col min="12551" max="12551" width="11.7109375" style="232" customWidth="1"/>
    <col min="12552" max="12800" width="9.140625" style="232"/>
    <col min="12801" max="12801" width="5.28515625" style="232" customWidth="1"/>
    <col min="12802" max="12802" width="57" style="232" customWidth="1"/>
    <col min="12803" max="12803" width="5" style="232" customWidth="1"/>
    <col min="12804" max="12804" width="7" style="232" customWidth="1"/>
    <col min="12805" max="12805" width="9.140625" style="232"/>
    <col min="12806" max="12806" width="13.28515625" style="232" customWidth="1"/>
    <col min="12807" max="12807" width="11.7109375" style="232" customWidth="1"/>
    <col min="12808" max="13056" width="9.140625" style="232"/>
    <col min="13057" max="13057" width="5.28515625" style="232" customWidth="1"/>
    <col min="13058" max="13058" width="57" style="232" customWidth="1"/>
    <col min="13059" max="13059" width="5" style="232" customWidth="1"/>
    <col min="13060" max="13060" width="7" style="232" customWidth="1"/>
    <col min="13061" max="13061" width="9.140625" style="232"/>
    <col min="13062" max="13062" width="13.28515625" style="232" customWidth="1"/>
    <col min="13063" max="13063" width="11.7109375" style="232" customWidth="1"/>
    <col min="13064" max="13312" width="9.140625" style="232"/>
    <col min="13313" max="13313" width="5.28515625" style="232" customWidth="1"/>
    <col min="13314" max="13314" width="57" style="232" customWidth="1"/>
    <col min="13315" max="13315" width="5" style="232" customWidth="1"/>
    <col min="13316" max="13316" width="7" style="232" customWidth="1"/>
    <col min="13317" max="13317" width="9.140625" style="232"/>
    <col min="13318" max="13318" width="13.28515625" style="232" customWidth="1"/>
    <col min="13319" max="13319" width="11.7109375" style="232" customWidth="1"/>
    <col min="13320" max="13568" width="9.140625" style="232"/>
    <col min="13569" max="13569" width="5.28515625" style="232" customWidth="1"/>
    <col min="13570" max="13570" width="57" style="232" customWidth="1"/>
    <col min="13571" max="13571" width="5" style="232" customWidth="1"/>
    <col min="13572" max="13572" width="7" style="232" customWidth="1"/>
    <col min="13573" max="13573" width="9.140625" style="232"/>
    <col min="13574" max="13574" width="13.28515625" style="232" customWidth="1"/>
    <col min="13575" max="13575" width="11.7109375" style="232" customWidth="1"/>
    <col min="13576" max="13824" width="9.140625" style="232"/>
    <col min="13825" max="13825" width="5.28515625" style="232" customWidth="1"/>
    <col min="13826" max="13826" width="57" style="232" customWidth="1"/>
    <col min="13827" max="13827" width="5" style="232" customWidth="1"/>
    <col min="13828" max="13828" width="7" style="232" customWidth="1"/>
    <col min="13829" max="13829" width="9.140625" style="232"/>
    <col min="13830" max="13830" width="13.28515625" style="232" customWidth="1"/>
    <col min="13831" max="13831" width="11.7109375" style="232" customWidth="1"/>
    <col min="13832" max="14080" width="9.140625" style="232"/>
    <col min="14081" max="14081" width="5.28515625" style="232" customWidth="1"/>
    <col min="14082" max="14082" width="57" style="232" customWidth="1"/>
    <col min="14083" max="14083" width="5" style="232" customWidth="1"/>
    <col min="14084" max="14084" width="7" style="232" customWidth="1"/>
    <col min="14085" max="14085" width="9.140625" style="232"/>
    <col min="14086" max="14086" width="13.28515625" style="232" customWidth="1"/>
    <col min="14087" max="14087" width="11.7109375" style="232" customWidth="1"/>
    <col min="14088" max="14336" width="9.140625" style="232"/>
    <col min="14337" max="14337" width="5.28515625" style="232" customWidth="1"/>
    <col min="14338" max="14338" width="57" style="232" customWidth="1"/>
    <col min="14339" max="14339" width="5" style="232" customWidth="1"/>
    <col min="14340" max="14340" width="7" style="232" customWidth="1"/>
    <col min="14341" max="14341" width="9.140625" style="232"/>
    <col min="14342" max="14342" width="13.28515625" style="232" customWidth="1"/>
    <col min="14343" max="14343" width="11.7109375" style="232" customWidth="1"/>
    <col min="14344" max="14592" width="9.140625" style="232"/>
    <col min="14593" max="14593" width="5.28515625" style="232" customWidth="1"/>
    <col min="14594" max="14594" width="57" style="232" customWidth="1"/>
    <col min="14595" max="14595" width="5" style="232" customWidth="1"/>
    <col min="14596" max="14596" width="7" style="232" customWidth="1"/>
    <col min="14597" max="14597" width="9.140625" style="232"/>
    <col min="14598" max="14598" width="13.28515625" style="232" customWidth="1"/>
    <col min="14599" max="14599" width="11.7109375" style="232" customWidth="1"/>
    <col min="14600" max="14848" width="9.140625" style="232"/>
    <col min="14849" max="14849" width="5.28515625" style="232" customWidth="1"/>
    <col min="14850" max="14850" width="57" style="232" customWidth="1"/>
    <col min="14851" max="14851" width="5" style="232" customWidth="1"/>
    <col min="14852" max="14852" width="7" style="232" customWidth="1"/>
    <col min="14853" max="14853" width="9.140625" style="232"/>
    <col min="14854" max="14854" width="13.28515625" style="232" customWidth="1"/>
    <col min="14855" max="14855" width="11.7109375" style="232" customWidth="1"/>
    <col min="14856" max="15104" width="9.140625" style="232"/>
    <col min="15105" max="15105" width="5.28515625" style="232" customWidth="1"/>
    <col min="15106" max="15106" width="57" style="232" customWidth="1"/>
    <col min="15107" max="15107" width="5" style="232" customWidth="1"/>
    <col min="15108" max="15108" width="7" style="232" customWidth="1"/>
    <col min="15109" max="15109" width="9.140625" style="232"/>
    <col min="15110" max="15110" width="13.28515625" style="232" customWidth="1"/>
    <col min="15111" max="15111" width="11.7109375" style="232" customWidth="1"/>
    <col min="15112" max="15360" width="9.140625" style="232"/>
    <col min="15361" max="15361" width="5.28515625" style="232" customWidth="1"/>
    <col min="15362" max="15362" width="57" style="232" customWidth="1"/>
    <col min="15363" max="15363" width="5" style="232" customWidth="1"/>
    <col min="15364" max="15364" width="7" style="232" customWidth="1"/>
    <col min="15365" max="15365" width="9.140625" style="232"/>
    <col min="15366" max="15366" width="13.28515625" style="232" customWidth="1"/>
    <col min="15367" max="15367" width="11.7109375" style="232" customWidth="1"/>
    <col min="15368" max="15616" width="9.140625" style="232"/>
    <col min="15617" max="15617" width="5.28515625" style="232" customWidth="1"/>
    <col min="15618" max="15618" width="57" style="232" customWidth="1"/>
    <col min="15619" max="15619" width="5" style="232" customWidth="1"/>
    <col min="15620" max="15620" width="7" style="232" customWidth="1"/>
    <col min="15621" max="15621" width="9.140625" style="232"/>
    <col min="15622" max="15622" width="13.28515625" style="232" customWidth="1"/>
    <col min="15623" max="15623" width="11.7109375" style="232" customWidth="1"/>
    <col min="15624" max="15872" width="9.140625" style="232"/>
    <col min="15873" max="15873" width="5.28515625" style="232" customWidth="1"/>
    <col min="15874" max="15874" width="57" style="232" customWidth="1"/>
    <col min="15875" max="15875" width="5" style="232" customWidth="1"/>
    <col min="15876" max="15876" width="7" style="232" customWidth="1"/>
    <col min="15877" max="15877" width="9.140625" style="232"/>
    <col min="15878" max="15878" width="13.28515625" style="232" customWidth="1"/>
    <col min="15879" max="15879" width="11.7109375" style="232" customWidth="1"/>
    <col min="15880" max="16128" width="9.140625" style="232"/>
    <col min="16129" max="16129" width="5.28515625" style="232" customWidth="1"/>
    <col min="16130" max="16130" width="57" style="232" customWidth="1"/>
    <col min="16131" max="16131" width="5" style="232" customWidth="1"/>
    <col min="16132" max="16132" width="7" style="232" customWidth="1"/>
    <col min="16133" max="16133" width="9.140625" style="232"/>
    <col min="16134" max="16134" width="13.28515625" style="232" customWidth="1"/>
    <col min="16135" max="16135" width="11.7109375" style="232" customWidth="1"/>
    <col min="16136" max="16384" width="9.140625" style="232"/>
  </cols>
  <sheetData>
    <row r="1" spans="1:12" customFormat="1" ht="24.95" customHeight="1" x14ac:dyDescent="0.2">
      <c r="A1" s="899" t="s">
        <v>549</v>
      </c>
      <c r="B1" s="899"/>
      <c r="C1" s="899"/>
      <c r="D1" s="899"/>
      <c r="E1" s="899"/>
      <c r="F1" s="899"/>
      <c r="G1" s="899"/>
      <c r="H1" s="899"/>
      <c r="I1" s="899"/>
      <c r="J1" s="899"/>
      <c r="K1" s="899"/>
      <c r="L1" s="899"/>
    </row>
    <row r="2" spans="1:12" customFormat="1" ht="24.95" customHeight="1" x14ac:dyDescent="0.2">
      <c r="A2" s="900" t="s">
        <v>550</v>
      </c>
      <c r="B2" s="900"/>
      <c r="C2" s="900"/>
      <c r="D2" s="900"/>
      <c r="E2" s="900"/>
      <c r="F2" s="900"/>
      <c r="G2" s="900"/>
      <c r="H2" s="900"/>
      <c r="I2" s="900"/>
      <c r="J2" s="900"/>
      <c r="K2" s="900"/>
      <c r="L2" s="900"/>
    </row>
    <row r="3" spans="1:12" customFormat="1" ht="20.100000000000001" customHeight="1" x14ac:dyDescent="0.2">
      <c r="A3" s="536" t="s">
        <v>303</v>
      </c>
      <c r="B3" s="448" t="s">
        <v>302</v>
      </c>
      <c r="C3" s="448" t="s">
        <v>301</v>
      </c>
      <c r="D3" s="448" t="s">
        <v>300</v>
      </c>
      <c r="E3" s="448" t="s">
        <v>298</v>
      </c>
      <c r="F3" s="448" t="s">
        <v>297</v>
      </c>
      <c r="G3" s="448" t="s">
        <v>415</v>
      </c>
      <c r="H3" s="448" t="s">
        <v>47</v>
      </c>
      <c r="I3" s="448" t="s">
        <v>296</v>
      </c>
      <c r="J3" s="448" t="s">
        <v>21</v>
      </c>
      <c r="K3" s="448" t="s">
        <v>22</v>
      </c>
      <c r="L3" s="448" t="s">
        <v>295</v>
      </c>
    </row>
    <row r="4" spans="1:12" ht="17.100000000000001" customHeight="1" x14ac:dyDescent="0.2">
      <c r="A4" s="537">
        <v>1</v>
      </c>
      <c r="B4" s="538" t="s">
        <v>523</v>
      </c>
      <c r="C4" s="226"/>
      <c r="D4" s="539"/>
      <c r="E4" s="281"/>
      <c r="F4" s="281"/>
      <c r="G4" s="540"/>
      <c r="H4" s="540"/>
      <c r="I4" s="540"/>
      <c r="J4" s="540"/>
      <c r="K4" s="540"/>
      <c r="L4" s="1063" t="s">
        <v>524</v>
      </c>
    </row>
    <row r="5" spans="1:12" ht="17.100000000000001" customHeight="1" x14ac:dyDescent="0.2">
      <c r="A5" s="537"/>
      <c r="B5" s="541" t="s">
        <v>525</v>
      </c>
      <c r="C5" s="226" t="s">
        <v>35</v>
      </c>
      <c r="D5" s="542">
        <v>6.15</v>
      </c>
      <c r="E5" s="543"/>
      <c r="F5" s="543"/>
      <c r="G5" s="544"/>
      <c r="H5" s="545"/>
      <c r="I5" s="540"/>
      <c r="J5" s="540"/>
      <c r="K5" s="540"/>
      <c r="L5" s="1064"/>
    </row>
    <row r="6" spans="1:12" ht="17.100000000000001" customHeight="1" x14ac:dyDescent="0.2">
      <c r="A6" s="537"/>
      <c r="B6" s="541" t="s">
        <v>526</v>
      </c>
      <c r="C6" s="226" t="s">
        <v>33</v>
      </c>
      <c r="D6" s="543"/>
      <c r="E6" s="542">
        <v>6.15</v>
      </c>
      <c r="F6" s="543"/>
      <c r="G6" s="544"/>
      <c r="H6" s="545"/>
      <c r="I6" s="540"/>
      <c r="J6" s="540"/>
      <c r="K6" s="540"/>
      <c r="L6" s="1064"/>
    </row>
    <row r="7" spans="1:12" ht="17.100000000000001" customHeight="1" x14ac:dyDescent="0.2">
      <c r="A7" s="537"/>
      <c r="B7" s="541" t="s">
        <v>527</v>
      </c>
      <c r="C7" s="226" t="s">
        <v>33</v>
      </c>
      <c r="D7" s="543"/>
      <c r="E7" s="543"/>
      <c r="F7" s="543"/>
      <c r="G7" s="546">
        <v>0.8</v>
      </c>
      <c r="H7" s="545"/>
      <c r="I7" s="540"/>
      <c r="J7" s="540"/>
      <c r="K7" s="540"/>
      <c r="L7" s="1064"/>
    </row>
    <row r="8" spans="1:12" ht="17.100000000000001" customHeight="1" x14ac:dyDescent="0.2">
      <c r="A8" s="537"/>
      <c r="B8" s="541" t="s">
        <v>528</v>
      </c>
      <c r="C8" s="226" t="s">
        <v>33</v>
      </c>
      <c r="D8" s="543"/>
      <c r="E8" s="543"/>
      <c r="F8" s="542">
        <v>1</v>
      </c>
      <c r="G8" s="544"/>
      <c r="H8" s="545"/>
      <c r="I8" s="540"/>
      <c r="J8" s="540"/>
      <c r="K8" s="540"/>
      <c r="L8" s="1064"/>
    </row>
    <row r="9" spans="1:12" ht="17.100000000000001" customHeight="1" x14ac:dyDescent="0.2">
      <c r="A9" s="537"/>
      <c r="B9" s="541" t="s">
        <v>529</v>
      </c>
      <c r="C9" s="226" t="s">
        <v>416</v>
      </c>
      <c r="D9" s="539">
        <f>(F8*G7/2)*E6</f>
        <v>2.4600000000000004</v>
      </c>
      <c r="E9" s="281"/>
      <c r="F9" s="281"/>
      <c r="G9" s="540"/>
      <c r="H9" s="540"/>
      <c r="I9" s="540"/>
      <c r="J9" s="540"/>
      <c r="K9" s="540"/>
      <c r="L9" s="1065"/>
    </row>
    <row r="10" spans="1:12" ht="17.100000000000001" customHeight="1" x14ac:dyDescent="0.2">
      <c r="A10" s="537"/>
      <c r="B10" s="541" t="s">
        <v>530</v>
      </c>
      <c r="C10" s="226" t="s">
        <v>416</v>
      </c>
      <c r="D10" s="539">
        <f>F8*G7*E6</f>
        <v>4.9200000000000008</v>
      </c>
      <c r="E10" s="281"/>
      <c r="F10" s="281"/>
      <c r="G10" s="540"/>
      <c r="H10" s="540"/>
      <c r="I10" s="540"/>
      <c r="J10" s="540"/>
      <c r="K10" s="540"/>
      <c r="L10" s="547"/>
    </row>
    <row r="11" spans="1:12" ht="17.100000000000001" customHeight="1" x14ac:dyDescent="0.2">
      <c r="A11" s="537"/>
      <c r="B11" s="538"/>
      <c r="C11" s="226"/>
      <c r="D11" s="539"/>
      <c r="E11" s="281"/>
      <c r="F11" s="281"/>
      <c r="G11" s="540"/>
      <c r="H11" s="540"/>
      <c r="I11" s="540"/>
      <c r="J11" s="540"/>
      <c r="K11" s="540"/>
      <c r="L11" s="540"/>
    </row>
    <row r="12" spans="1:12" ht="17.100000000000001" customHeight="1" x14ac:dyDescent="0.2">
      <c r="A12" s="226" t="s">
        <v>6</v>
      </c>
      <c r="B12" s="548" t="s">
        <v>305</v>
      </c>
      <c r="C12" s="537" t="s">
        <v>10</v>
      </c>
      <c r="D12" s="549">
        <f>J16+J23</f>
        <v>5.6800000000000006</v>
      </c>
      <c r="E12" s="281"/>
      <c r="F12" s="281"/>
      <c r="G12" s="266"/>
      <c r="H12" s="550"/>
      <c r="I12" s="540"/>
      <c r="J12" s="540"/>
      <c r="K12" s="540"/>
      <c r="L12" s="540"/>
    </row>
    <row r="13" spans="1:12" ht="17.100000000000001" customHeight="1" x14ac:dyDescent="0.2">
      <c r="A13" s="226"/>
      <c r="B13" s="551" t="s">
        <v>531</v>
      </c>
      <c r="C13" s="537" t="s">
        <v>33</v>
      </c>
      <c r="D13" s="283"/>
      <c r="E13" s="552">
        <v>6.5</v>
      </c>
      <c r="F13" s="539"/>
      <c r="G13" s="266"/>
      <c r="H13" s="550"/>
      <c r="I13" s="540"/>
      <c r="J13" s="540"/>
      <c r="K13" s="540"/>
      <c r="L13" s="540"/>
    </row>
    <row r="14" spans="1:12" ht="17.100000000000001" customHeight="1" x14ac:dyDescent="0.2">
      <c r="A14" s="226"/>
      <c r="B14" s="551" t="s">
        <v>149</v>
      </c>
      <c r="C14" s="537" t="s">
        <v>33</v>
      </c>
      <c r="D14" s="283"/>
      <c r="E14" s="539"/>
      <c r="F14" s="552">
        <v>1</v>
      </c>
      <c r="G14" s="266"/>
      <c r="H14" s="550"/>
      <c r="I14" s="540"/>
      <c r="J14" s="540"/>
      <c r="K14" s="540"/>
      <c r="L14" s="540"/>
    </row>
    <row r="15" spans="1:12" ht="17.100000000000001" customHeight="1" x14ac:dyDescent="0.2">
      <c r="A15" s="226"/>
      <c r="B15" s="551" t="s">
        <v>98</v>
      </c>
      <c r="C15" s="537" t="s">
        <v>33</v>
      </c>
      <c r="D15" s="283"/>
      <c r="E15" s="539"/>
      <c r="F15" s="552">
        <v>0.8</v>
      </c>
      <c r="G15" s="266"/>
      <c r="H15" s="550"/>
      <c r="I15" s="540"/>
      <c r="J15" s="540"/>
      <c r="K15" s="540"/>
      <c r="L15" s="540"/>
    </row>
    <row r="16" spans="1:12" ht="17.100000000000001" customHeight="1" x14ac:dyDescent="0.2">
      <c r="A16" s="226"/>
      <c r="B16" s="551" t="s">
        <v>532</v>
      </c>
      <c r="C16" s="537" t="s">
        <v>10</v>
      </c>
      <c r="E16" s="281"/>
      <c r="F16" s="281"/>
      <c r="G16" s="266"/>
      <c r="H16" s="550"/>
      <c r="I16" s="540"/>
      <c r="J16" s="549">
        <f>E13*F14*F15</f>
        <v>5.2</v>
      </c>
      <c r="K16" s="537" t="s">
        <v>10</v>
      </c>
      <c r="L16" s="540"/>
    </row>
    <row r="17" spans="1:12" ht="17.100000000000001" customHeight="1" x14ac:dyDescent="0.2">
      <c r="A17" s="226"/>
      <c r="B17" s="551"/>
      <c r="C17" s="537"/>
      <c r="D17" s="543"/>
      <c r="E17" s="281"/>
      <c r="F17" s="281"/>
      <c r="G17" s="266"/>
      <c r="H17" s="550"/>
      <c r="I17" s="540"/>
      <c r="J17" s="540"/>
      <c r="K17" s="540"/>
      <c r="L17" s="540"/>
    </row>
    <row r="18" spans="1:12" ht="17.100000000000001" customHeight="1" x14ac:dyDescent="0.2">
      <c r="A18" s="226" t="s">
        <v>420</v>
      </c>
      <c r="B18" s="548" t="s">
        <v>533</v>
      </c>
      <c r="C18" s="537"/>
      <c r="D18" s="549">
        <f>J23</f>
        <v>0.48000000000000009</v>
      </c>
      <c r="E18" s="281"/>
      <c r="F18" s="281"/>
      <c r="G18" s="266"/>
      <c r="H18" s="550"/>
      <c r="I18" s="540"/>
      <c r="J18" s="540"/>
      <c r="K18" s="540"/>
      <c r="L18" s="540"/>
    </row>
    <row r="19" spans="1:12" ht="17.100000000000001" customHeight="1" x14ac:dyDescent="0.2">
      <c r="A19" s="226"/>
      <c r="B19" s="548" t="s">
        <v>305</v>
      </c>
      <c r="C19" s="537" t="s">
        <v>10</v>
      </c>
      <c r="D19" s="543"/>
      <c r="E19" s="281"/>
      <c r="F19" s="281"/>
      <c r="G19" s="266"/>
      <c r="H19" s="550"/>
      <c r="I19" s="540"/>
      <c r="J19" s="540"/>
      <c r="K19" s="540"/>
      <c r="L19" s="540"/>
    </row>
    <row r="20" spans="1:12" ht="17.100000000000001" customHeight="1" x14ac:dyDescent="0.2">
      <c r="A20" s="226"/>
      <c r="B20" s="551" t="s">
        <v>531</v>
      </c>
      <c r="C20" s="537" t="s">
        <v>33</v>
      </c>
      <c r="D20" s="543"/>
      <c r="E20" s="539">
        <v>6</v>
      </c>
      <c r="F20" s="539"/>
      <c r="G20" s="266"/>
      <c r="H20" s="550"/>
      <c r="I20" s="540"/>
      <c r="J20" s="540"/>
      <c r="K20" s="540"/>
      <c r="L20" s="540"/>
    </row>
    <row r="21" spans="1:12" ht="17.100000000000001" customHeight="1" x14ac:dyDescent="0.2">
      <c r="A21" s="226"/>
      <c r="B21" s="551" t="s">
        <v>149</v>
      </c>
      <c r="C21" s="537" t="s">
        <v>33</v>
      </c>
      <c r="D21" s="543"/>
      <c r="E21" s="539"/>
      <c r="F21" s="539">
        <v>0.2</v>
      </c>
      <c r="G21" s="266"/>
      <c r="H21" s="550"/>
      <c r="I21" s="540"/>
      <c r="J21" s="540"/>
      <c r="K21" s="540"/>
      <c r="L21" s="540"/>
    </row>
    <row r="22" spans="1:12" ht="17.100000000000001" customHeight="1" x14ac:dyDescent="0.2">
      <c r="A22" s="226"/>
      <c r="B22" s="551" t="s">
        <v>98</v>
      </c>
      <c r="C22" s="537" t="s">
        <v>33</v>
      </c>
      <c r="D22" s="543"/>
      <c r="E22" s="539"/>
      <c r="F22" s="539"/>
      <c r="G22" s="452">
        <v>0.4</v>
      </c>
      <c r="H22" s="550"/>
      <c r="I22" s="540"/>
      <c r="J22" s="540"/>
      <c r="K22" s="540"/>
      <c r="L22" s="540"/>
    </row>
    <row r="23" spans="1:12" ht="17.100000000000001" customHeight="1" x14ac:dyDescent="0.2">
      <c r="A23" s="226"/>
      <c r="B23" s="551" t="s">
        <v>551</v>
      </c>
      <c r="C23" s="537" t="s">
        <v>10</v>
      </c>
      <c r="D23" s="545"/>
      <c r="E23" s="281"/>
      <c r="F23" s="281"/>
      <c r="G23" s="266"/>
      <c r="H23" s="550"/>
      <c r="I23" s="540"/>
      <c r="J23" s="555">
        <f>E20*F21*G22</f>
        <v>0.48000000000000009</v>
      </c>
      <c r="K23" s="537" t="s">
        <v>10</v>
      </c>
      <c r="L23" s="540"/>
    </row>
    <row r="24" spans="1:12" ht="17.100000000000001" customHeight="1" x14ac:dyDescent="0.2">
      <c r="A24" s="226"/>
      <c r="B24" s="551"/>
      <c r="C24" s="537"/>
      <c r="D24" s="545"/>
      <c r="E24" s="281"/>
      <c r="F24" s="281"/>
      <c r="G24" s="266"/>
      <c r="H24" s="550"/>
      <c r="I24" s="540"/>
      <c r="J24" s="555"/>
      <c r="K24" s="537"/>
      <c r="L24" s="540"/>
    </row>
    <row r="25" spans="1:12" ht="17.100000000000001" customHeight="1" x14ac:dyDescent="0.2">
      <c r="A25" s="226"/>
      <c r="B25" s="553" t="s">
        <v>552</v>
      </c>
      <c r="C25" s="537" t="s">
        <v>10</v>
      </c>
      <c r="D25" s="283"/>
      <c r="E25" s="281"/>
      <c r="F25" s="281"/>
      <c r="G25" s="266"/>
      <c r="H25" s="550"/>
      <c r="I25" s="540"/>
      <c r="J25" s="549">
        <f>J16+J23</f>
        <v>5.6800000000000006</v>
      </c>
      <c r="K25" s="226" t="s">
        <v>10</v>
      </c>
      <c r="L25" s="540"/>
    </row>
    <row r="26" spans="1:12" ht="17.100000000000001" customHeight="1" x14ac:dyDescent="0.2">
      <c r="A26" s="226"/>
      <c r="B26" s="548"/>
      <c r="C26" s="226"/>
      <c r="D26" s="283"/>
      <c r="E26" s="281"/>
      <c r="F26" s="281"/>
      <c r="G26" s="266"/>
      <c r="H26" s="550"/>
      <c r="I26" s="540"/>
      <c r="J26" s="540"/>
      <c r="K26" s="540"/>
      <c r="L26" s="540"/>
    </row>
    <row r="27" spans="1:12" ht="17.100000000000001" customHeight="1" x14ac:dyDescent="0.2">
      <c r="A27" s="226" t="s">
        <v>8</v>
      </c>
      <c r="B27" s="554" t="s">
        <v>810</v>
      </c>
      <c r="C27" s="537" t="s">
        <v>10</v>
      </c>
      <c r="D27" s="555">
        <f>J32</f>
        <v>2.6</v>
      </c>
      <c r="E27" s="281"/>
      <c r="F27" s="281"/>
      <c r="G27" s="556"/>
      <c r="H27" s="540"/>
      <c r="I27" s="540"/>
      <c r="J27" s="540"/>
      <c r="K27" s="540"/>
      <c r="L27" s="557" t="s">
        <v>535</v>
      </c>
    </row>
    <row r="28" spans="1:12" ht="17.100000000000001" customHeight="1" x14ac:dyDescent="0.2">
      <c r="A28" s="226"/>
      <c r="B28" s="551" t="s">
        <v>536</v>
      </c>
      <c r="C28" s="537" t="s">
        <v>33</v>
      </c>
      <c r="D28" s="283"/>
      <c r="E28" s="539">
        <f>E13</f>
        <v>6.5</v>
      </c>
      <c r="F28" s="539"/>
      <c r="G28" s="556"/>
      <c r="H28" s="540"/>
      <c r="I28" s="540"/>
      <c r="J28" s="540"/>
      <c r="K28" s="540"/>
      <c r="L28" s="540"/>
    </row>
    <row r="29" spans="1:12" ht="17.100000000000001" customHeight="1" x14ac:dyDescent="0.2">
      <c r="A29" s="226"/>
      <c r="B29" s="551" t="s">
        <v>149</v>
      </c>
      <c r="C29" s="537" t="s">
        <v>33</v>
      </c>
      <c r="D29" s="283"/>
      <c r="E29" s="539"/>
      <c r="F29" s="539">
        <f>F14</f>
        <v>1</v>
      </c>
      <c r="G29" s="556"/>
      <c r="H29" s="540"/>
      <c r="I29" s="540"/>
      <c r="J29" s="540"/>
      <c r="K29" s="540"/>
      <c r="L29" s="540"/>
    </row>
    <row r="30" spans="1:12" ht="17.100000000000001" customHeight="1" x14ac:dyDescent="0.2">
      <c r="A30" s="226"/>
      <c r="B30" s="551" t="s">
        <v>98</v>
      </c>
      <c r="C30" s="537" t="s">
        <v>33</v>
      </c>
      <c r="D30" s="283"/>
      <c r="E30" s="539"/>
      <c r="F30" s="539">
        <f>F15/2</f>
        <v>0.4</v>
      </c>
      <c r="G30" s="556"/>
      <c r="H30" s="540"/>
      <c r="I30" s="540"/>
      <c r="J30" s="540"/>
      <c r="K30" s="540"/>
      <c r="L30" s="540"/>
    </row>
    <row r="31" spans="1:12" ht="17.100000000000001" customHeight="1" x14ac:dyDescent="0.2">
      <c r="A31" s="226"/>
      <c r="B31" s="551" t="s">
        <v>534</v>
      </c>
      <c r="C31" s="537" t="s">
        <v>10</v>
      </c>
      <c r="D31" s="543">
        <f>F29*F30*E28</f>
        <v>2.6</v>
      </c>
      <c r="E31" s="539"/>
      <c r="F31" s="539"/>
      <c r="G31" s="556"/>
      <c r="H31" s="540"/>
      <c r="I31" s="540"/>
      <c r="J31" s="540"/>
      <c r="K31" s="540"/>
      <c r="L31" s="540"/>
    </row>
    <row r="32" spans="1:12" ht="17.100000000000001" customHeight="1" x14ac:dyDescent="0.2">
      <c r="A32" s="226"/>
      <c r="B32" s="553" t="s">
        <v>21</v>
      </c>
      <c r="C32" s="226"/>
      <c r="D32" s="283"/>
      <c r="E32" s="281"/>
      <c r="F32" s="281"/>
      <c r="G32" s="556"/>
      <c r="H32" s="540"/>
      <c r="I32" s="540"/>
      <c r="J32" s="549">
        <f>D31</f>
        <v>2.6</v>
      </c>
      <c r="K32" s="226" t="s">
        <v>10</v>
      </c>
      <c r="L32" s="540"/>
    </row>
    <row r="33" spans="1:12" ht="17.100000000000001" customHeight="1" x14ac:dyDescent="0.2">
      <c r="A33" s="226"/>
      <c r="B33" s="551"/>
      <c r="C33" s="537"/>
      <c r="D33" s="543"/>
      <c r="E33" s="539"/>
      <c r="F33" s="539"/>
      <c r="G33" s="556"/>
      <c r="H33" s="540"/>
      <c r="I33" s="540"/>
      <c r="J33" s="540"/>
      <c r="K33" s="540"/>
      <c r="L33" s="540"/>
    </row>
    <row r="34" spans="1:12" ht="42.75" customHeight="1" x14ac:dyDescent="0.2">
      <c r="A34" s="290" t="s">
        <v>24</v>
      </c>
      <c r="B34" s="554" t="s">
        <v>219</v>
      </c>
      <c r="C34" s="558" t="s">
        <v>33</v>
      </c>
      <c r="D34" s="559">
        <v>6</v>
      </c>
      <c r="E34" s="291"/>
      <c r="F34" s="281"/>
      <c r="G34" s="292"/>
      <c r="H34" s="560"/>
      <c r="I34" s="560"/>
      <c r="J34" s="560"/>
      <c r="K34" s="560"/>
      <c r="L34" s="554" t="s">
        <v>539</v>
      </c>
    </row>
    <row r="35" spans="1:12" ht="17.100000000000001" customHeight="1" x14ac:dyDescent="0.2">
      <c r="A35" s="226"/>
      <c r="B35" s="551"/>
      <c r="C35" s="537"/>
      <c r="D35" s="543"/>
      <c r="E35" s="539"/>
      <c r="F35" s="539"/>
      <c r="G35" s="556"/>
      <c r="H35" s="540"/>
      <c r="I35" s="540"/>
      <c r="J35" s="540"/>
      <c r="K35" s="540"/>
      <c r="L35" s="540"/>
    </row>
    <row r="36" spans="1:12" ht="17.100000000000001" customHeight="1" x14ac:dyDescent="0.2">
      <c r="A36" s="226" t="s">
        <v>25</v>
      </c>
      <c r="B36" s="554" t="s">
        <v>220</v>
      </c>
      <c r="C36" s="537" t="s">
        <v>7</v>
      </c>
      <c r="D36" s="555">
        <f>J40</f>
        <v>9.75</v>
      </c>
      <c r="E36" s="540"/>
      <c r="F36" s="540"/>
      <c r="G36" s="266"/>
      <c r="H36" s="544">
        <v>1</v>
      </c>
      <c r="I36" s="545"/>
      <c r="J36" s="545"/>
      <c r="K36" s="540"/>
      <c r="L36" s="540"/>
    </row>
    <row r="37" spans="1:12" ht="17.100000000000001" customHeight="1" x14ac:dyDescent="0.2">
      <c r="A37" s="226"/>
      <c r="B37" s="551" t="s">
        <v>536</v>
      </c>
      <c r="C37" s="537" t="s">
        <v>33</v>
      </c>
      <c r="D37" s="283"/>
      <c r="E37" s="478">
        <f>E13</f>
        <v>6.5</v>
      </c>
      <c r="F37" s="543"/>
      <c r="G37" s="266"/>
      <c r="H37" s="544">
        <v>1</v>
      </c>
      <c r="I37" s="545"/>
      <c r="J37" s="545"/>
      <c r="K37" s="540"/>
      <c r="L37" s="540"/>
    </row>
    <row r="38" spans="1:12" ht="17.100000000000001" customHeight="1" x14ac:dyDescent="0.2">
      <c r="A38" s="226"/>
      <c r="B38" s="551" t="s">
        <v>149</v>
      </c>
      <c r="C38" s="537" t="s">
        <v>33</v>
      </c>
      <c r="D38" s="283"/>
      <c r="E38" s="452"/>
      <c r="F38" s="543">
        <f>F14+(F14/2)</f>
        <v>1.5</v>
      </c>
      <c r="G38" s="266"/>
      <c r="H38" s="545"/>
      <c r="I38" s="545"/>
      <c r="J38" s="545"/>
      <c r="K38" s="540"/>
      <c r="L38" s="562"/>
    </row>
    <row r="39" spans="1:12" ht="17.100000000000001" customHeight="1" x14ac:dyDescent="0.2">
      <c r="A39" s="226"/>
      <c r="B39" s="541" t="s">
        <v>512</v>
      </c>
      <c r="C39" s="537" t="s">
        <v>7</v>
      </c>
      <c r="D39" s="283">
        <f>E37*F38</f>
        <v>9.75</v>
      </c>
      <c r="E39" s="293"/>
      <c r="F39" s="281"/>
      <c r="G39" s="266"/>
      <c r="H39" s="545"/>
      <c r="I39" s="545"/>
      <c r="J39" s="543"/>
      <c r="K39" s="540"/>
      <c r="L39" s="540"/>
    </row>
    <row r="40" spans="1:12" ht="17.100000000000001" customHeight="1" x14ac:dyDescent="0.2">
      <c r="A40" s="226"/>
      <c r="B40" s="553" t="s">
        <v>21</v>
      </c>
      <c r="C40" s="226"/>
      <c r="D40" s="283"/>
      <c r="E40" s="293"/>
      <c r="F40" s="281"/>
      <c r="G40" s="266"/>
      <c r="H40" s="540"/>
      <c r="I40" s="540"/>
      <c r="J40" s="543">
        <f>D39</f>
        <v>9.75</v>
      </c>
      <c r="K40" s="226" t="s">
        <v>7</v>
      </c>
      <c r="L40" s="540"/>
    </row>
    <row r="41" spans="1:12" ht="17.100000000000001" customHeight="1" x14ac:dyDescent="0.2">
      <c r="A41" s="226"/>
      <c r="B41" s="553"/>
      <c r="C41" s="226"/>
      <c r="D41" s="283"/>
      <c r="E41" s="293"/>
      <c r="F41" s="281"/>
      <c r="G41" s="266"/>
      <c r="H41" s="540"/>
      <c r="I41" s="540"/>
      <c r="J41" s="543"/>
      <c r="K41" s="226"/>
      <c r="L41" s="540"/>
    </row>
    <row r="42" spans="1:12" ht="17.100000000000001" customHeight="1" x14ac:dyDescent="0.2">
      <c r="A42" s="226" t="s">
        <v>26</v>
      </c>
      <c r="B42" s="554" t="s">
        <v>540</v>
      </c>
      <c r="C42" s="537" t="s">
        <v>33</v>
      </c>
      <c r="D42" s="232"/>
      <c r="E42" s="291"/>
      <c r="F42" s="281"/>
      <c r="G42" s="292"/>
      <c r="H42" s="560"/>
      <c r="I42" s="560"/>
      <c r="J42" s="559">
        <v>6</v>
      </c>
      <c r="K42" s="537" t="s">
        <v>33</v>
      </c>
      <c r="L42" s="561" t="s">
        <v>908</v>
      </c>
    </row>
    <row r="43" spans="1:12" ht="17.100000000000001" customHeight="1" x14ac:dyDescent="0.2">
      <c r="A43" s="226"/>
      <c r="B43" s="553"/>
      <c r="C43" s="226"/>
      <c r="D43" s="283"/>
      <c r="E43" s="293"/>
      <c r="F43" s="281"/>
      <c r="G43" s="266"/>
      <c r="H43" s="540"/>
      <c r="I43" s="540"/>
      <c r="J43" s="543"/>
      <c r="K43" s="226"/>
      <c r="L43" s="540"/>
    </row>
    <row r="44" spans="1:12" ht="17.100000000000001" customHeight="1" x14ac:dyDescent="0.2">
      <c r="A44" s="226" t="s">
        <v>27</v>
      </c>
      <c r="B44" s="554" t="s">
        <v>279</v>
      </c>
      <c r="C44" s="537" t="s">
        <v>52</v>
      </c>
      <c r="D44" s="549">
        <f>J49</f>
        <v>2.6</v>
      </c>
      <c r="E44" s="281"/>
      <c r="F44" s="281"/>
      <c r="G44" s="556"/>
      <c r="H44" s="550"/>
      <c r="I44" s="540"/>
      <c r="J44" s="540"/>
      <c r="K44" s="540"/>
      <c r="L44" s="540"/>
    </row>
    <row r="45" spans="1:12" ht="17.100000000000001" customHeight="1" x14ac:dyDescent="0.2">
      <c r="A45" s="226"/>
      <c r="B45" s="551" t="s">
        <v>537</v>
      </c>
      <c r="C45" s="537" t="s">
        <v>35</v>
      </c>
      <c r="D45" s="283">
        <f>E13*F14</f>
        <v>6.5</v>
      </c>
      <c r="E45" s="281"/>
      <c r="F45" s="539"/>
      <c r="G45" s="556"/>
      <c r="H45" s="550"/>
      <c r="I45" s="540"/>
      <c r="J45" s="540"/>
      <c r="K45" s="540"/>
      <c r="L45" s="540"/>
    </row>
    <row r="46" spans="1:12" ht="17.100000000000001" customHeight="1" x14ac:dyDescent="0.2">
      <c r="A46" s="226"/>
      <c r="B46" s="551" t="s">
        <v>907</v>
      </c>
      <c r="C46" s="537" t="s">
        <v>33</v>
      </c>
      <c r="D46" s="283"/>
      <c r="E46" s="281"/>
      <c r="F46" s="539"/>
      <c r="G46" s="749">
        <v>0.4</v>
      </c>
      <c r="H46" s="550"/>
      <c r="I46" s="540"/>
      <c r="J46" s="540"/>
      <c r="K46" s="540"/>
      <c r="L46" s="540"/>
    </row>
    <row r="47" spans="1:12" ht="17.100000000000001" customHeight="1" x14ac:dyDescent="0.2">
      <c r="A47" s="226"/>
      <c r="B47" s="551" t="s">
        <v>538</v>
      </c>
      <c r="C47" s="537" t="s">
        <v>52</v>
      </c>
      <c r="D47" s="283">
        <f>D45*G46</f>
        <v>2.6</v>
      </c>
      <c r="E47" s="539"/>
      <c r="F47" s="539"/>
      <c r="G47" s="556"/>
      <c r="H47" s="550"/>
      <c r="I47" s="540"/>
      <c r="J47" s="540"/>
      <c r="K47" s="540"/>
      <c r="L47" s="540"/>
    </row>
    <row r="48" spans="1:12" ht="17.100000000000001" customHeight="1" x14ac:dyDescent="0.2">
      <c r="A48" s="226"/>
      <c r="B48" s="551"/>
      <c r="C48" s="537"/>
      <c r="D48" s="543"/>
      <c r="E48" s="281"/>
      <c r="F48" s="281"/>
      <c r="G48" s="556"/>
      <c r="H48" s="550"/>
      <c r="I48" s="540"/>
      <c r="J48" s="540"/>
      <c r="K48" s="540"/>
      <c r="L48" s="540"/>
    </row>
    <row r="49" spans="1:14" ht="17.100000000000001" customHeight="1" x14ac:dyDescent="0.2">
      <c r="A49" s="226"/>
      <c r="B49" s="553" t="s">
        <v>21</v>
      </c>
      <c r="C49" s="226"/>
      <c r="D49" s="283"/>
      <c r="E49" s="281"/>
      <c r="F49" s="281"/>
      <c r="G49" s="556"/>
      <c r="H49" s="550"/>
      <c r="I49" s="540"/>
      <c r="J49" s="549">
        <f>D47</f>
        <v>2.6</v>
      </c>
      <c r="K49" s="226" t="s">
        <v>62</v>
      </c>
      <c r="L49" s="540"/>
    </row>
    <row r="50" spans="1:14" ht="17.100000000000001" customHeight="1" x14ac:dyDescent="0.2">
      <c r="A50" s="226"/>
      <c r="B50" s="554"/>
      <c r="C50" s="226"/>
      <c r="D50" s="283"/>
      <c r="E50" s="281"/>
      <c r="F50" s="281"/>
      <c r="G50" s="556"/>
      <c r="H50" s="550"/>
      <c r="I50" s="540"/>
      <c r="J50" s="540"/>
      <c r="K50" s="540"/>
      <c r="L50" s="540"/>
    </row>
    <row r="52" spans="1:14" x14ac:dyDescent="0.2">
      <c r="B52" s="1066" t="s">
        <v>541</v>
      </c>
      <c r="C52" s="1066"/>
      <c r="D52" s="1066"/>
      <c r="E52" s="1066"/>
      <c r="F52" s="1066"/>
      <c r="G52" s="1066"/>
    </row>
    <row r="53" spans="1:14" x14ac:dyDescent="0.2">
      <c r="B53" s="1066" t="s">
        <v>542</v>
      </c>
      <c r="C53" s="1066"/>
      <c r="D53" s="1066"/>
      <c r="E53" s="1066"/>
      <c r="F53" s="1066"/>
      <c r="G53" s="1066"/>
    </row>
    <row r="54" spans="1:14" x14ac:dyDescent="0.2">
      <c r="A54" s="563"/>
      <c r="B54" s="1066" t="s">
        <v>543</v>
      </c>
      <c r="C54" s="1066"/>
      <c r="D54" s="1066"/>
      <c r="E54" s="1066"/>
      <c r="F54" s="1066"/>
      <c r="G54" s="1066"/>
    </row>
    <row r="55" spans="1:14" ht="24.75" customHeight="1" x14ac:dyDescent="0.2">
      <c r="A55" s="563"/>
      <c r="B55" s="1067" t="s">
        <v>544</v>
      </c>
      <c r="C55" s="1067"/>
      <c r="D55" s="1067"/>
      <c r="E55" s="1067"/>
      <c r="F55" s="1067"/>
      <c r="G55" s="1067"/>
      <c r="H55" s="212"/>
      <c r="I55" s="212"/>
    </row>
    <row r="56" spans="1:14" x14ac:dyDescent="0.2">
      <c r="B56" s="1066" t="s">
        <v>545</v>
      </c>
      <c r="C56" s="1066"/>
      <c r="D56" s="1066"/>
      <c r="E56" s="1066"/>
      <c r="F56" s="1066"/>
      <c r="G56" s="1066"/>
    </row>
    <row r="58" spans="1:14" s="212" customFormat="1" ht="52.5" customHeight="1" x14ac:dyDescent="0.2">
      <c r="A58" s="953" t="s">
        <v>553</v>
      </c>
      <c r="B58" s="953"/>
      <c r="C58" s="953"/>
      <c r="D58" s="953"/>
      <c r="E58" s="953"/>
      <c r="F58" s="953"/>
      <c r="G58" s="953"/>
      <c r="H58" s="953"/>
      <c r="I58" s="953"/>
      <c r="J58" s="953"/>
      <c r="K58" s="953"/>
      <c r="L58" s="953"/>
      <c r="N58" s="457"/>
    </row>
  </sheetData>
  <sheetProtection algorithmName="SHA-512" hashValue="rfScmrwJjOZLEzbNJnA3I/JAuWkSrxnrt6yDNM2trJvVjC0gaig5gqHfXGIjPFmsggfBC6RrYW+/InYC/Egz5w==" saltValue="5AcEDs+9XryZFWFYctQE9w==" spinCount="100000" sheet="1" objects="1" scenarios="1" selectLockedCells="1" selectUnlockedCells="1"/>
  <mergeCells count="9">
    <mergeCell ref="B55:G55"/>
    <mergeCell ref="B56:G56"/>
    <mergeCell ref="A58:L58"/>
    <mergeCell ref="A1:L1"/>
    <mergeCell ref="A2:L2"/>
    <mergeCell ref="L4:L9"/>
    <mergeCell ref="B52:G52"/>
    <mergeCell ref="B53:G53"/>
    <mergeCell ref="B54:G54"/>
  </mergeCells>
  <printOptions horizontalCentered="1"/>
  <pageMargins left="0.51181102362204722" right="0.51181102362204722" top="0.78740157480314965" bottom="0.78740157480314965" header="0.31496062992125984" footer="0.31496062992125984"/>
  <pageSetup paperSize="9" scale="65"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pageSetUpPr fitToPage="1"/>
  </sheetPr>
  <dimension ref="A1:I45"/>
  <sheetViews>
    <sheetView workbookViewId="0">
      <selection activeCell="M9" sqref="M9"/>
    </sheetView>
  </sheetViews>
  <sheetFormatPr defaultRowHeight="12.75" x14ac:dyDescent="0.2"/>
  <cols>
    <col min="1" max="2" width="6.7109375" style="5" customWidth="1"/>
    <col min="3" max="3" width="42.5703125" style="5" customWidth="1"/>
    <col min="4" max="4" width="6" style="5" customWidth="1"/>
    <col min="5" max="5" width="9.5703125" style="5" customWidth="1"/>
    <col min="6" max="6" width="10.7109375" style="7" customWidth="1"/>
    <col min="7" max="7" width="9.42578125" style="7" customWidth="1"/>
    <col min="8" max="8" width="12.7109375" style="5" customWidth="1"/>
    <col min="9" max="16384" width="9.140625" style="5"/>
  </cols>
  <sheetData>
    <row r="1" spans="1:9" ht="51.75" customHeight="1" x14ac:dyDescent="0.2">
      <c r="A1" s="1092"/>
      <c r="B1" s="1092"/>
      <c r="C1" s="1092"/>
      <c r="D1" s="1092"/>
      <c r="E1" s="1092"/>
      <c r="F1" s="1092"/>
      <c r="G1" s="1092"/>
      <c r="H1" s="1092"/>
    </row>
    <row r="2" spans="1:9" ht="17.100000000000001" customHeight="1" x14ac:dyDescent="0.2">
      <c r="A2" s="1093" t="s">
        <v>870</v>
      </c>
      <c r="B2" s="1094"/>
      <c r="C2" s="1094"/>
      <c r="D2" s="1094"/>
      <c r="E2" s="1094"/>
      <c r="F2" s="1094"/>
      <c r="G2" s="1094"/>
      <c r="H2" s="1095"/>
    </row>
    <row r="3" spans="1:9" ht="17.100000000000001" customHeight="1" x14ac:dyDescent="0.2">
      <c r="A3" s="817" t="s">
        <v>277</v>
      </c>
      <c r="B3" s="817"/>
      <c r="C3" s="1097" t="e">
        <f>#REF!</f>
        <v>#REF!</v>
      </c>
      <c r="D3" s="1094"/>
      <c r="E3" s="1096"/>
      <c r="F3" s="372" t="s">
        <v>275</v>
      </c>
      <c r="G3" s="1094" t="e">
        <f>#REF!</f>
        <v>#REF!</v>
      </c>
      <c r="H3" s="1096"/>
    </row>
    <row r="4" spans="1:9" ht="17.100000000000001" customHeight="1" x14ac:dyDescent="0.2">
      <c r="A4" s="815" t="s">
        <v>333</v>
      </c>
      <c r="B4" s="815"/>
      <c r="C4" s="1097" t="e">
        <f>#REF!</f>
        <v>#REF!</v>
      </c>
      <c r="D4" s="1094"/>
      <c r="E4" s="1096"/>
      <c r="F4" s="372"/>
      <c r="G4" s="1094" t="e">
        <f>#REF!</f>
        <v>#REF!</v>
      </c>
      <c r="H4" s="1096"/>
    </row>
    <row r="5" spans="1:9" ht="17.100000000000001" customHeight="1" x14ac:dyDescent="0.2">
      <c r="A5" s="1088"/>
      <c r="B5" s="1088"/>
      <c r="C5" s="1088"/>
      <c r="D5" s="1088"/>
      <c r="E5" s="1088"/>
      <c r="F5" s="1088"/>
      <c r="G5" s="1088"/>
      <c r="H5" s="1088"/>
      <c r="I5" s="229"/>
    </row>
    <row r="6" spans="1:9" ht="17.100000000000001" customHeight="1" thickBot="1" x14ac:dyDescent="0.25">
      <c r="A6" s="1085" t="s">
        <v>276</v>
      </c>
      <c r="B6" s="1086"/>
      <c r="C6" s="1086"/>
      <c r="D6" s="1087"/>
      <c r="E6" s="1087"/>
      <c r="F6" s="1087"/>
      <c r="G6" s="1087"/>
      <c r="H6" s="371"/>
    </row>
    <row r="7" spans="1:9" ht="39" customHeight="1" thickBot="1" x14ac:dyDescent="0.25">
      <c r="A7" s="223" t="s">
        <v>0</v>
      </c>
      <c r="B7" s="1089" t="s">
        <v>1</v>
      </c>
      <c r="C7" s="1089"/>
      <c r="D7" s="331" t="s">
        <v>2</v>
      </c>
      <c r="E7" s="332" t="s">
        <v>3</v>
      </c>
      <c r="F7" s="338" t="s">
        <v>4</v>
      </c>
      <c r="G7" s="334" t="s">
        <v>5</v>
      </c>
      <c r="H7" s="312" t="s">
        <v>857</v>
      </c>
    </row>
    <row r="8" spans="1:9" ht="17.100000000000001" customHeight="1" x14ac:dyDescent="0.2">
      <c r="A8" s="264">
        <v>1</v>
      </c>
      <c r="B8" s="1090" t="s">
        <v>332</v>
      </c>
      <c r="C8" s="1091"/>
      <c r="D8" s="324"/>
      <c r="E8" s="324"/>
      <c r="F8" s="324"/>
      <c r="G8" s="324"/>
      <c r="H8" s="265"/>
    </row>
    <row r="9" spans="1:9" ht="30" customHeight="1" thickBot="1" x14ac:dyDescent="0.25">
      <c r="A9" s="299" t="s">
        <v>6</v>
      </c>
      <c r="B9" s="948" t="s">
        <v>336</v>
      </c>
      <c r="C9" s="949"/>
      <c r="D9" s="352" t="s">
        <v>7</v>
      </c>
      <c r="E9" s="378">
        <v>1</v>
      </c>
      <c r="F9" s="379">
        <f>'11. Composições'!G136</f>
        <v>418.32050000000004</v>
      </c>
      <c r="G9" s="300">
        <f>F9*E9</f>
        <v>418.32050000000004</v>
      </c>
      <c r="H9" s="732" t="s">
        <v>846</v>
      </c>
    </row>
    <row r="10" spans="1:9" ht="17.100000000000001" customHeight="1" thickBot="1" x14ac:dyDescent="0.25">
      <c r="A10" s="1083" t="s">
        <v>32</v>
      </c>
      <c r="B10" s="1084"/>
      <c r="C10" s="1084"/>
      <c r="D10" s="1084"/>
      <c r="E10" s="1084"/>
      <c r="F10" s="1084"/>
      <c r="G10" s="230">
        <f>SUM(G9:G9)</f>
        <v>418.32050000000004</v>
      </c>
      <c r="H10" s="9"/>
    </row>
    <row r="11" spans="1:9" ht="20.100000000000001" customHeight="1" x14ac:dyDescent="0.2"/>
    <row r="12" spans="1:9" ht="63.75" customHeight="1" x14ac:dyDescent="0.2">
      <c r="C12" s="875" t="s">
        <v>269</v>
      </c>
      <c r="D12" s="876"/>
      <c r="E12" s="876"/>
      <c r="F12" s="876"/>
      <c r="G12" s="876"/>
      <c r="H12" s="876"/>
    </row>
    <row r="13" spans="1:9" ht="20.100000000000001" customHeight="1" x14ac:dyDescent="0.2"/>
    <row r="14" spans="1:9" ht="20.100000000000001" customHeight="1" x14ac:dyDescent="0.2"/>
    <row r="15" spans="1:9" ht="20.100000000000001" customHeight="1" x14ac:dyDescent="0.2"/>
    <row r="16" spans="1:9" ht="20.100000000000001" customHeight="1" x14ac:dyDescent="0.2"/>
    <row r="17" ht="20.100000000000001" customHeight="1" x14ac:dyDescent="0.2"/>
    <row r="18" ht="20.100000000000001" customHeight="1" x14ac:dyDescent="0.2"/>
    <row r="19" ht="20.100000000000001" customHeight="1" x14ac:dyDescent="0.2"/>
    <row r="20" ht="20.100000000000001" customHeight="1" x14ac:dyDescent="0.2"/>
    <row r="21" ht="20.100000000000001" customHeight="1" x14ac:dyDescent="0.2"/>
    <row r="22" ht="20.100000000000001" customHeight="1" x14ac:dyDescent="0.2"/>
    <row r="23" ht="20.100000000000001" customHeight="1" x14ac:dyDescent="0.2"/>
    <row r="24" ht="20.100000000000001" customHeight="1" x14ac:dyDescent="0.2"/>
    <row r="25" ht="20.100000000000001" customHeight="1" x14ac:dyDescent="0.2"/>
    <row r="26" ht="20.100000000000001" customHeight="1" x14ac:dyDescent="0.2"/>
    <row r="27" ht="20.100000000000001" customHeight="1" x14ac:dyDescent="0.2"/>
    <row r="28" ht="20.100000000000001" customHeight="1" x14ac:dyDescent="0.2"/>
    <row r="29" ht="20.100000000000001" customHeight="1" x14ac:dyDescent="0.2"/>
    <row r="30" ht="20.100000000000001" customHeight="1" x14ac:dyDescent="0.2"/>
    <row r="31" ht="20.100000000000001" customHeight="1" x14ac:dyDescent="0.2"/>
    <row r="32"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sheetData>
  <mergeCells count="15">
    <mergeCell ref="A1:H1"/>
    <mergeCell ref="A2:H2"/>
    <mergeCell ref="A3:B3"/>
    <mergeCell ref="A4:B4"/>
    <mergeCell ref="G3:H3"/>
    <mergeCell ref="G4:H4"/>
    <mergeCell ref="C3:E3"/>
    <mergeCell ref="C4:E4"/>
    <mergeCell ref="C12:H12"/>
    <mergeCell ref="A10:F10"/>
    <mergeCell ref="A6:G6"/>
    <mergeCell ref="A5:H5"/>
    <mergeCell ref="B7:C7"/>
    <mergeCell ref="B9:C9"/>
    <mergeCell ref="B8:C8"/>
  </mergeCells>
  <printOptions horizontalCentered="1"/>
  <pageMargins left="0.59055118110236227" right="0.59055118110236227" top="1.1811023622047245" bottom="0.98425196850393704" header="0.51181102362204722" footer="0.51181102362204722"/>
  <pageSetup paperSize="9" scale="88" fitToHeight="0"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C184"/>
  <sheetViews>
    <sheetView topLeftCell="A7" workbookViewId="0">
      <selection sqref="A1:L2"/>
    </sheetView>
  </sheetViews>
  <sheetFormatPr defaultRowHeight="12.75" x14ac:dyDescent="0.2"/>
  <cols>
    <col min="1" max="1" width="6.7109375" customWidth="1"/>
    <col min="2" max="2" width="55.7109375" customWidth="1"/>
    <col min="3" max="3" width="6.7109375" style="235" customWidth="1"/>
    <col min="4" max="4" width="8" bestFit="1" customWidth="1"/>
    <col min="5" max="5" width="9.5703125" bestFit="1" customWidth="1"/>
    <col min="6" max="6" width="8.42578125" bestFit="1" customWidth="1"/>
    <col min="7" max="7" width="8.42578125" customWidth="1"/>
    <col min="8" max="8" width="9.140625" customWidth="1"/>
    <col min="9" max="9" width="7.28515625" customWidth="1"/>
    <col min="10" max="10" width="7.5703125" bestFit="1" customWidth="1"/>
    <col min="11" max="11" width="6.7109375" style="256" customWidth="1"/>
    <col min="12" max="12" width="21.42578125" hidden="1" customWidth="1"/>
    <col min="256" max="256" width="17.28515625" customWidth="1"/>
    <col min="257" max="257" width="40.140625" customWidth="1"/>
    <col min="265" max="265" width="12.28515625" customWidth="1"/>
    <col min="266" max="266" width="10.140625" customWidth="1"/>
    <col min="267" max="267" width="0" hidden="1" customWidth="1"/>
    <col min="512" max="512" width="17.28515625" customWidth="1"/>
    <col min="513" max="513" width="40.140625" customWidth="1"/>
    <col min="521" max="521" width="12.28515625" customWidth="1"/>
    <col min="522" max="522" width="10.140625" customWidth="1"/>
    <col min="523" max="523" width="0" hidden="1" customWidth="1"/>
    <col min="768" max="768" width="17.28515625" customWidth="1"/>
    <col min="769" max="769" width="40.140625" customWidth="1"/>
    <col min="777" max="777" width="12.28515625" customWidth="1"/>
    <col min="778" max="778" width="10.140625" customWidth="1"/>
    <col min="779" max="779" width="0" hidden="1" customWidth="1"/>
    <col min="1024" max="1024" width="17.28515625" customWidth="1"/>
    <col min="1025" max="1025" width="40.140625" customWidth="1"/>
    <col min="1033" max="1033" width="12.28515625" customWidth="1"/>
    <col min="1034" max="1034" width="10.140625" customWidth="1"/>
    <col min="1035" max="1035" width="0" hidden="1" customWidth="1"/>
    <col min="1280" max="1280" width="17.28515625" customWidth="1"/>
    <col min="1281" max="1281" width="40.140625" customWidth="1"/>
    <col min="1289" max="1289" width="12.28515625" customWidth="1"/>
    <col min="1290" max="1290" width="10.140625" customWidth="1"/>
    <col min="1291" max="1291" width="0" hidden="1" customWidth="1"/>
    <col min="1536" max="1536" width="17.28515625" customWidth="1"/>
    <col min="1537" max="1537" width="40.140625" customWidth="1"/>
    <col min="1545" max="1545" width="12.28515625" customWidth="1"/>
    <col min="1546" max="1546" width="10.140625" customWidth="1"/>
    <col min="1547" max="1547" width="0" hidden="1" customWidth="1"/>
    <col min="1792" max="1792" width="17.28515625" customWidth="1"/>
    <col min="1793" max="1793" width="40.140625" customWidth="1"/>
    <col min="1801" max="1801" width="12.28515625" customWidth="1"/>
    <col min="1802" max="1802" width="10.140625" customWidth="1"/>
    <col min="1803" max="1803" width="0" hidden="1" customWidth="1"/>
    <col min="2048" max="2048" width="17.28515625" customWidth="1"/>
    <col min="2049" max="2049" width="40.140625" customWidth="1"/>
    <col min="2057" max="2057" width="12.28515625" customWidth="1"/>
    <col min="2058" max="2058" width="10.140625" customWidth="1"/>
    <col min="2059" max="2059" width="0" hidden="1" customWidth="1"/>
    <col min="2304" max="2304" width="17.28515625" customWidth="1"/>
    <col min="2305" max="2305" width="40.140625" customWidth="1"/>
    <col min="2313" max="2313" width="12.28515625" customWidth="1"/>
    <col min="2314" max="2314" width="10.140625" customWidth="1"/>
    <col min="2315" max="2315" width="0" hidden="1" customWidth="1"/>
    <col min="2560" max="2560" width="17.28515625" customWidth="1"/>
    <col min="2561" max="2561" width="40.140625" customWidth="1"/>
    <col min="2569" max="2569" width="12.28515625" customWidth="1"/>
    <col min="2570" max="2570" width="10.140625" customWidth="1"/>
    <col min="2571" max="2571" width="0" hidden="1" customWidth="1"/>
    <col min="2816" max="2816" width="17.28515625" customWidth="1"/>
    <col min="2817" max="2817" width="40.140625" customWidth="1"/>
    <col min="2825" max="2825" width="12.28515625" customWidth="1"/>
    <col min="2826" max="2826" width="10.140625" customWidth="1"/>
    <col min="2827" max="2827" width="0" hidden="1" customWidth="1"/>
    <col min="3072" max="3072" width="17.28515625" customWidth="1"/>
    <col min="3073" max="3073" width="40.140625" customWidth="1"/>
    <col min="3081" max="3081" width="12.28515625" customWidth="1"/>
    <col min="3082" max="3082" width="10.140625" customWidth="1"/>
    <col min="3083" max="3083" width="0" hidden="1" customWidth="1"/>
    <col min="3328" max="3328" width="17.28515625" customWidth="1"/>
    <col min="3329" max="3329" width="40.140625" customWidth="1"/>
    <col min="3337" max="3337" width="12.28515625" customWidth="1"/>
    <col min="3338" max="3338" width="10.140625" customWidth="1"/>
    <col min="3339" max="3339" width="0" hidden="1" customWidth="1"/>
    <col min="3584" max="3584" width="17.28515625" customWidth="1"/>
    <col min="3585" max="3585" width="40.140625" customWidth="1"/>
    <col min="3593" max="3593" width="12.28515625" customWidth="1"/>
    <col min="3594" max="3594" width="10.140625" customWidth="1"/>
    <col min="3595" max="3595" width="0" hidden="1" customWidth="1"/>
    <col min="3840" max="3840" width="17.28515625" customWidth="1"/>
    <col min="3841" max="3841" width="40.140625" customWidth="1"/>
    <col min="3849" max="3849" width="12.28515625" customWidth="1"/>
    <col min="3850" max="3850" width="10.140625" customWidth="1"/>
    <col min="3851" max="3851" width="0" hidden="1" customWidth="1"/>
    <col min="4096" max="4096" width="17.28515625" customWidth="1"/>
    <col min="4097" max="4097" width="40.140625" customWidth="1"/>
    <col min="4105" max="4105" width="12.28515625" customWidth="1"/>
    <col min="4106" max="4106" width="10.140625" customWidth="1"/>
    <col min="4107" max="4107" width="0" hidden="1" customWidth="1"/>
    <col min="4352" max="4352" width="17.28515625" customWidth="1"/>
    <col min="4353" max="4353" width="40.140625" customWidth="1"/>
    <col min="4361" max="4361" width="12.28515625" customWidth="1"/>
    <col min="4362" max="4362" width="10.140625" customWidth="1"/>
    <col min="4363" max="4363" width="0" hidden="1" customWidth="1"/>
    <col min="4608" max="4608" width="17.28515625" customWidth="1"/>
    <col min="4609" max="4609" width="40.140625" customWidth="1"/>
    <col min="4617" max="4617" width="12.28515625" customWidth="1"/>
    <col min="4618" max="4618" width="10.140625" customWidth="1"/>
    <col min="4619" max="4619" width="0" hidden="1" customWidth="1"/>
    <col min="4864" max="4864" width="17.28515625" customWidth="1"/>
    <col min="4865" max="4865" width="40.140625" customWidth="1"/>
    <col min="4873" max="4873" width="12.28515625" customWidth="1"/>
    <col min="4874" max="4874" width="10.140625" customWidth="1"/>
    <col min="4875" max="4875" width="0" hidden="1" customWidth="1"/>
    <col min="5120" max="5120" width="17.28515625" customWidth="1"/>
    <col min="5121" max="5121" width="40.140625" customWidth="1"/>
    <col min="5129" max="5129" width="12.28515625" customWidth="1"/>
    <col min="5130" max="5130" width="10.140625" customWidth="1"/>
    <col min="5131" max="5131" width="0" hidden="1" customWidth="1"/>
    <col min="5376" max="5376" width="17.28515625" customWidth="1"/>
    <col min="5377" max="5377" width="40.140625" customWidth="1"/>
    <col min="5385" max="5385" width="12.28515625" customWidth="1"/>
    <col min="5386" max="5386" width="10.140625" customWidth="1"/>
    <col min="5387" max="5387" width="0" hidden="1" customWidth="1"/>
    <col min="5632" max="5632" width="17.28515625" customWidth="1"/>
    <col min="5633" max="5633" width="40.140625" customWidth="1"/>
    <col min="5641" max="5641" width="12.28515625" customWidth="1"/>
    <col min="5642" max="5642" width="10.140625" customWidth="1"/>
    <col min="5643" max="5643" width="0" hidden="1" customWidth="1"/>
    <col min="5888" max="5888" width="17.28515625" customWidth="1"/>
    <col min="5889" max="5889" width="40.140625" customWidth="1"/>
    <col min="5897" max="5897" width="12.28515625" customWidth="1"/>
    <col min="5898" max="5898" width="10.140625" customWidth="1"/>
    <col min="5899" max="5899" width="0" hidden="1" customWidth="1"/>
    <col min="6144" max="6144" width="17.28515625" customWidth="1"/>
    <col min="6145" max="6145" width="40.140625" customWidth="1"/>
    <col min="6153" max="6153" width="12.28515625" customWidth="1"/>
    <col min="6154" max="6154" width="10.140625" customWidth="1"/>
    <col min="6155" max="6155" width="0" hidden="1" customWidth="1"/>
    <col min="6400" max="6400" width="17.28515625" customWidth="1"/>
    <col min="6401" max="6401" width="40.140625" customWidth="1"/>
    <col min="6409" max="6409" width="12.28515625" customWidth="1"/>
    <col min="6410" max="6410" width="10.140625" customWidth="1"/>
    <col min="6411" max="6411" width="0" hidden="1" customWidth="1"/>
    <col min="6656" max="6656" width="17.28515625" customWidth="1"/>
    <col min="6657" max="6657" width="40.140625" customWidth="1"/>
    <col min="6665" max="6665" width="12.28515625" customWidth="1"/>
    <col min="6666" max="6666" width="10.140625" customWidth="1"/>
    <col min="6667" max="6667" width="0" hidden="1" customWidth="1"/>
    <col min="6912" max="6912" width="17.28515625" customWidth="1"/>
    <col min="6913" max="6913" width="40.140625" customWidth="1"/>
    <col min="6921" max="6921" width="12.28515625" customWidth="1"/>
    <col min="6922" max="6922" width="10.140625" customWidth="1"/>
    <col min="6923" max="6923" width="0" hidden="1" customWidth="1"/>
    <col min="7168" max="7168" width="17.28515625" customWidth="1"/>
    <col min="7169" max="7169" width="40.140625" customWidth="1"/>
    <col min="7177" max="7177" width="12.28515625" customWidth="1"/>
    <col min="7178" max="7178" width="10.140625" customWidth="1"/>
    <col min="7179" max="7179" width="0" hidden="1" customWidth="1"/>
    <col min="7424" max="7424" width="17.28515625" customWidth="1"/>
    <col min="7425" max="7425" width="40.140625" customWidth="1"/>
    <col min="7433" max="7433" width="12.28515625" customWidth="1"/>
    <col min="7434" max="7434" width="10.140625" customWidth="1"/>
    <col min="7435" max="7435" width="0" hidden="1" customWidth="1"/>
    <col min="7680" max="7680" width="17.28515625" customWidth="1"/>
    <col min="7681" max="7681" width="40.140625" customWidth="1"/>
    <col min="7689" max="7689" width="12.28515625" customWidth="1"/>
    <col min="7690" max="7690" width="10.140625" customWidth="1"/>
    <col min="7691" max="7691" width="0" hidden="1" customWidth="1"/>
    <col min="7936" max="7936" width="17.28515625" customWidth="1"/>
    <col min="7937" max="7937" width="40.140625" customWidth="1"/>
    <col min="7945" max="7945" width="12.28515625" customWidth="1"/>
    <col min="7946" max="7946" width="10.140625" customWidth="1"/>
    <col min="7947" max="7947" width="0" hidden="1" customWidth="1"/>
    <col min="8192" max="8192" width="17.28515625" customWidth="1"/>
    <col min="8193" max="8193" width="40.140625" customWidth="1"/>
    <col min="8201" max="8201" width="12.28515625" customWidth="1"/>
    <col min="8202" max="8202" width="10.140625" customWidth="1"/>
    <col min="8203" max="8203" width="0" hidden="1" customWidth="1"/>
    <col min="8448" max="8448" width="17.28515625" customWidth="1"/>
    <col min="8449" max="8449" width="40.140625" customWidth="1"/>
    <col min="8457" max="8457" width="12.28515625" customWidth="1"/>
    <col min="8458" max="8458" width="10.140625" customWidth="1"/>
    <col min="8459" max="8459" width="0" hidden="1" customWidth="1"/>
    <col min="8704" max="8704" width="17.28515625" customWidth="1"/>
    <col min="8705" max="8705" width="40.140625" customWidth="1"/>
    <col min="8713" max="8713" width="12.28515625" customWidth="1"/>
    <col min="8714" max="8714" width="10.140625" customWidth="1"/>
    <col min="8715" max="8715" width="0" hidden="1" customWidth="1"/>
    <col min="8960" max="8960" width="17.28515625" customWidth="1"/>
    <col min="8961" max="8961" width="40.140625" customWidth="1"/>
    <col min="8969" max="8969" width="12.28515625" customWidth="1"/>
    <col min="8970" max="8970" width="10.140625" customWidth="1"/>
    <col min="8971" max="8971" width="0" hidden="1" customWidth="1"/>
    <col min="9216" max="9216" width="17.28515625" customWidth="1"/>
    <col min="9217" max="9217" width="40.140625" customWidth="1"/>
    <col min="9225" max="9225" width="12.28515625" customWidth="1"/>
    <col min="9226" max="9226" width="10.140625" customWidth="1"/>
    <col min="9227" max="9227" width="0" hidden="1" customWidth="1"/>
    <col min="9472" max="9472" width="17.28515625" customWidth="1"/>
    <col min="9473" max="9473" width="40.140625" customWidth="1"/>
    <col min="9481" max="9481" width="12.28515625" customWidth="1"/>
    <col min="9482" max="9482" width="10.140625" customWidth="1"/>
    <col min="9483" max="9483" width="0" hidden="1" customWidth="1"/>
    <col min="9728" max="9728" width="17.28515625" customWidth="1"/>
    <col min="9729" max="9729" width="40.140625" customWidth="1"/>
    <col min="9737" max="9737" width="12.28515625" customWidth="1"/>
    <col min="9738" max="9738" width="10.140625" customWidth="1"/>
    <col min="9739" max="9739" width="0" hidden="1" customWidth="1"/>
    <col min="9984" max="9984" width="17.28515625" customWidth="1"/>
    <col min="9985" max="9985" width="40.140625" customWidth="1"/>
    <col min="9993" max="9993" width="12.28515625" customWidth="1"/>
    <col min="9994" max="9994" width="10.140625" customWidth="1"/>
    <col min="9995" max="9995" width="0" hidden="1" customWidth="1"/>
    <col min="10240" max="10240" width="17.28515625" customWidth="1"/>
    <col min="10241" max="10241" width="40.140625" customWidth="1"/>
    <col min="10249" max="10249" width="12.28515625" customWidth="1"/>
    <col min="10250" max="10250" width="10.140625" customWidth="1"/>
    <col min="10251" max="10251" width="0" hidden="1" customWidth="1"/>
    <col min="10496" max="10496" width="17.28515625" customWidth="1"/>
    <col min="10497" max="10497" width="40.140625" customWidth="1"/>
    <col min="10505" max="10505" width="12.28515625" customWidth="1"/>
    <col min="10506" max="10506" width="10.140625" customWidth="1"/>
    <col min="10507" max="10507" width="0" hidden="1" customWidth="1"/>
    <col min="10752" max="10752" width="17.28515625" customWidth="1"/>
    <col min="10753" max="10753" width="40.140625" customWidth="1"/>
    <col min="10761" max="10761" width="12.28515625" customWidth="1"/>
    <col min="10762" max="10762" width="10.140625" customWidth="1"/>
    <col min="10763" max="10763" width="0" hidden="1" customWidth="1"/>
    <col min="11008" max="11008" width="17.28515625" customWidth="1"/>
    <col min="11009" max="11009" width="40.140625" customWidth="1"/>
    <col min="11017" max="11017" width="12.28515625" customWidth="1"/>
    <col min="11018" max="11018" width="10.140625" customWidth="1"/>
    <col min="11019" max="11019" width="0" hidden="1" customWidth="1"/>
    <col min="11264" max="11264" width="17.28515625" customWidth="1"/>
    <col min="11265" max="11265" width="40.140625" customWidth="1"/>
    <col min="11273" max="11273" width="12.28515625" customWidth="1"/>
    <col min="11274" max="11274" width="10.140625" customWidth="1"/>
    <col min="11275" max="11275" width="0" hidden="1" customWidth="1"/>
    <col min="11520" max="11520" width="17.28515625" customWidth="1"/>
    <col min="11521" max="11521" width="40.140625" customWidth="1"/>
    <col min="11529" max="11529" width="12.28515625" customWidth="1"/>
    <col min="11530" max="11530" width="10.140625" customWidth="1"/>
    <col min="11531" max="11531" width="0" hidden="1" customWidth="1"/>
    <col min="11776" max="11776" width="17.28515625" customWidth="1"/>
    <col min="11777" max="11777" width="40.140625" customWidth="1"/>
    <col min="11785" max="11785" width="12.28515625" customWidth="1"/>
    <col min="11786" max="11786" width="10.140625" customWidth="1"/>
    <col min="11787" max="11787" width="0" hidden="1" customWidth="1"/>
    <col min="12032" max="12032" width="17.28515625" customWidth="1"/>
    <col min="12033" max="12033" width="40.140625" customWidth="1"/>
    <col min="12041" max="12041" width="12.28515625" customWidth="1"/>
    <col min="12042" max="12042" width="10.140625" customWidth="1"/>
    <col min="12043" max="12043" width="0" hidden="1" customWidth="1"/>
    <col min="12288" max="12288" width="17.28515625" customWidth="1"/>
    <col min="12289" max="12289" width="40.140625" customWidth="1"/>
    <col min="12297" max="12297" width="12.28515625" customWidth="1"/>
    <col min="12298" max="12298" width="10.140625" customWidth="1"/>
    <col min="12299" max="12299" width="0" hidden="1" customWidth="1"/>
    <col min="12544" max="12544" width="17.28515625" customWidth="1"/>
    <col min="12545" max="12545" width="40.140625" customWidth="1"/>
    <col min="12553" max="12553" width="12.28515625" customWidth="1"/>
    <col min="12554" max="12554" width="10.140625" customWidth="1"/>
    <col min="12555" max="12555" width="0" hidden="1" customWidth="1"/>
    <col min="12800" max="12800" width="17.28515625" customWidth="1"/>
    <col min="12801" max="12801" width="40.140625" customWidth="1"/>
    <col min="12809" max="12809" width="12.28515625" customWidth="1"/>
    <col min="12810" max="12810" width="10.140625" customWidth="1"/>
    <col min="12811" max="12811" width="0" hidden="1" customWidth="1"/>
    <col min="13056" max="13056" width="17.28515625" customWidth="1"/>
    <col min="13057" max="13057" width="40.140625" customWidth="1"/>
    <col min="13065" max="13065" width="12.28515625" customWidth="1"/>
    <col min="13066" max="13066" width="10.140625" customWidth="1"/>
    <col min="13067" max="13067" width="0" hidden="1" customWidth="1"/>
    <col min="13312" max="13312" width="17.28515625" customWidth="1"/>
    <col min="13313" max="13313" width="40.140625" customWidth="1"/>
    <col min="13321" max="13321" width="12.28515625" customWidth="1"/>
    <col min="13322" max="13322" width="10.140625" customWidth="1"/>
    <col min="13323" max="13323" width="0" hidden="1" customWidth="1"/>
    <col min="13568" max="13568" width="17.28515625" customWidth="1"/>
    <col min="13569" max="13569" width="40.140625" customWidth="1"/>
    <col min="13577" max="13577" width="12.28515625" customWidth="1"/>
    <col min="13578" max="13578" width="10.140625" customWidth="1"/>
    <col min="13579" max="13579" width="0" hidden="1" customWidth="1"/>
    <col min="13824" max="13824" width="17.28515625" customWidth="1"/>
    <col min="13825" max="13825" width="40.140625" customWidth="1"/>
    <col min="13833" max="13833" width="12.28515625" customWidth="1"/>
    <col min="13834" max="13834" width="10.140625" customWidth="1"/>
    <col min="13835" max="13835" width="0" hidden="1" customWidth="1"/>
    <col min="14080" max="14080" width="17.28515625" customWidth="1"/>
    <col min="14081" max="14081" width="40.140625" customWidth="1"/>
    <col min="14089" max="14089" width="12.28515625" customWidth="1"/>
    <col min="14090" max="14090" width="10.140625" customWidth="1"/>
    <col min="14091" max="14091" width="0" hidden="1" customWidth="1"/>
    <col min="14336" max="14336" width="17.28515625" customWidth="1"/>
    <col min="14337" max="14337" width="40.140625" customWidth="1"/>
    <col min="14345" max="14345" width="12.28515625" customWidth="1"/>
    <col min="14346" max="14346" width="10.140625" customWidth="1"/>
    <col min="14347" max="14347" width="0" hidden="1" customWidth="1"/>
    <col min="14592" max="14592" width="17.28515625" customWidth="1"/>
    <col min="14593" max="14593" width="40.140625" customWidth="1"/>
    <col min="14601" max="14601" width="12.28515625" customWidth="1"/>
    <col min="14602" max="14602" width="10.140625" customWidth="1"/>
    <col min="14603" max="14603" width="0" hidden="1" customWidth="1"/>
    <col min="14848" max="14848" width="17.28515625" customWidth="1"/>
    <col min="14849" max="14849" width="40.140625" customWidth="1"/>
    <col min="14857" max="14857" width="12.28515625" customWidth="1"/>
    <col min="14858" max="14858" width="10.140625" customWidth="1"/>
    <col min="14859" max="14859" width="0" hidden="1" customWidth="1"/>
    <col min="15104" max="15104" width="17.28515625" customWidth="1"/>
    <col min="15105" max="15105" width="40.140625" customWidth="1"/>
    <col min="15113" max="15113" width="12.28515625" customWidth="1"/>
    <col min="15114" max="15114" width="10.140625" customWidth="1"/>
    <col min="15115" max="15115" width="0" hidden="1" customWidth="1"/>
    <col min="15360" max="15360" width="17.28515625" customWidth="1"/>
    <col min="15361" max="15361" width="40.140625" customWidth="1"/>
    <col min="15369" max="15369" width="12.28515625" customWidth="1"/>
    <col min="15370" max="15370" width="10.140625" customWidth="1"/>
    <col min="15371" max="15371" width="0" hidden="1" customWidth="1"/>
    <col min="15616" max="15616" width="17.28515625" customWidth="1"/>
    <col min="15617" max="15617" width="40.140625" customWidth="1"/>
    <col min="15625" max="15625" width="12.28515625" customWidth="1"/>
    <col min="15626" max="15626" width="10.140625" customWidth="1"/>
    <col min="15627" max="15627" width="0" hidden="1" customWidth="1"/>
    <col min="15872" max="15872" width="17.28515625" customWidth="1"/>
    <col min="15873" max="15873" width="40.140625" customWidth="1"/>
    <col min="15881" max="15881" width="12.28515625" customWidth="1"/>
    <col min="15882" max="15882" width="10.140625" customWidth="1"/>
    <col min="15883" max="15883" width="0" hidden="1" customWidth="1"/>
    <col min="16128" max="16128" width="17.28515625" customWidth="1"/>
    <col min="16129" max="16129" width="40.140625" customWidth="1"/>
    <col min="16137" max="16137" width="12.28515625" customWidth="1"/>
    <col min="16138" max="16138" width="10.140625" customWidth="1"/>
    <col min="16139" max="16139" width="0" hidden="1" customWidth="1"/>
  </cols>
  <sheetData>
    <row r="1" spans="1:29" x14ac:dyDescent="0.2">
      <c r="A1" s="862" t="s">
        <v>304</v>
      </c>
      <c r="B1" s="862"/>
      <c r="C1" s="862"/>
      <c r="D1" s="862"/>
      <c r="E1" s="862"/>
      <c r="F1" s="862"/>
      <c r="G1" s="862"/>
      <c r="H1" s="862"/>
      <c r="I1" s="862"/>
      <c r="J1" s="862"/>
      <c r="K1" s="862"/>
      <c r="L1" s="862"/>
    </row>
    <row r="2" spans="1:29" x14ac:dyDescent="0.2">
      <c r="A2" s="862"/>
      <c r="B2" s="862"/>
      <c r="C2" s="862"/>
      <c r="D2" s="862"/>
      <c r="E2" s="862"/>
      <c r="F2" s="862"/>
      <c r="G2" s="862"/>
      <c r="H2" s="862"/>
      <c r="I2" s="862"/>
      <c r="J2" s="862"/>
      <c r="K2" s="862"/>
      <c r="L2" s="862"/>
    </row>
    <row r="4" spans="1:29" ht="13.5" thickBot="1" x14ac:dyDescent="0.25">
      <c r="A4" s="269" t="s">
        <v>303</v>
      </c>
      <c r="B4" s="269" t="s">
        <v>302</v>
      </c>
      <c r="C4" s="269" t="s">
        <v>301</v>
      </c>
      <c r="D4" s="269" t="s">
        <v>300</v>
      </c>
      <c r="E4" s="863" t="s">
        <v>299</v>
      </c>
      <c r="F4" s="863"/>
      <c r="G4" s="863"/>
      <c r="H4" s="863"/>
      <c r="I4" s="863"/>
      <c r="J4" s="863"/>
      <c r="K4" s="863"/>
      <c r="L4" s="863"/>
    </row>
    <row r="5" spans="1:29" ht="24.95" customHeight="1" thickBot="1" x14ac:dyDescent="0.25">
      <c r="A5" s="864" t="s">
        <v>886</v>
      </c>
      <c r="B5" s="865"/>
      <c r="C5" s="865"/>
      <c r="D5" s="865"/>
      <c r="E5" s="865"/>
      <c r="F5" s="865"/>
      <c r="G5" s="865"/>
      <c r="H5" s="865"/>
      <c r="I5" s="865"/>
      <c r="J5" s="865"/>
      <c r="K5" s="865"/>
      <c r="L5" s="866"/>
    </row>
    <row r="6" spans="1:29" s="362" customFormat="1" ht="24.95" customHeight="1" thickBot="1" x14ac:dyDescent="0.25">
      <c r="A6" s="581">
        <v>2</v>
      </c>
      <c r="B6" s="867" t="s">
        <v>342</v>
      </c>
      <c r="C6" s="868"/>
      <c r="D6" s="868"/>
      <c r="E6" s="868"/>
      <c r="F6" s="868"/>
      <c r="G6" s="868"/>
      <c r="H6" s="868"/>
      <c r="I6" s="868"/>
      <c r="J6" s="868"/>
      <c r="K6" s="868"/>
      <c r="L6" s="869"/>
      <c r="M6"/>
      <c r="N6"/>
      <c r="O6"/>
      <c r="P6"/>
      <c r="Q6"/>
      <c r="R6"/>
      <c r="S6"/>
      <c r="T6"/>
      <c r="U6"/>
      <c r="V6"/>
      <c r="W6"/>
      <c r="X6"/>
      <c r="Y6"/>
      <c r="Z6"/>
      <c r="AA6"/>
      <c r="AB6"/>
      <c r="AC6"/>
    </row>
    <row r="7" spans="1:29" ht="20.100000000000001" customHeight="1" thickBot="1" x14ac:dyDescent="0.25">
      <c r="A7" s="580" t="s">
        <v>315</v>
      </c>
      <c r="B7" s="578" t="s">
        <v>302</v>
      </c>
      <c r="C7" s="578" t="s">
        <v>301</v>
      </c>
      <c r="D7" s="578" t="s">
        <v>300</v>
      </c>
      <c r="E7" s="578" t="s">
        <v>298</v>
      </c>
      <c r="F7" s="578" t="s">
        <v>297</v>
      </c>
      <c r="G7" s="578" t="s">
        <v>340</v>
      </c>
      <c r="H7" s="578" t="s">
        <v>47</v>
      </c>
      <c r="I7" s="578" t="s">
        <v>296</v>
      </c>
      <c r="J7" s="578" t="s">
        <v>21</v>
      </c>
      <c r="K7" s="578" t="s">
        <v>22</v>
      </c>
      <c r="L7" s="579" t="s">
        <v>295</v>
      </c>
    </row>
    <row r="8" spans="1:29" x14ac:dyDescent="0.2">
      <c r="A8" s="574"/>
      <c r="B8" s="574"/>
      <c r="C8" s="575"/>
      <c r="D8" s="574"/>
      <c r="E8" s="574"/>
      <c r="F8" s="574"/>
      <c r="G8" s="574"/>
      <c r="H8" s="574"/>
      <c r="I8" s="574"/>
      <c r="J8" s="574"/>
      <c r="K8" s="576"/>
      <c r="L8" s="577"/>
    </row>
    <row r="9" spans="1:29" ht="17.100000000000001" customHeight="1" x14ac:dyDescent="0.2">
      <c r="A9" s="243" t="s">
        <v>6</v>
      </c>
      <c r="B9" s="390" t="s">
        <v>361</v>
      </c>
      <c r="C9" s="302" t="s">
        <v>286</v>
      </c>
      <c r="D9" s="247">
        <f>J12</f>
        <v>9.8399999999999981</v>
      </c>
      <c r="E9" s="247"/>
      <c r="F9" s="247"/>
      <c r="G9" s="247"/>
      <c r="H9" s="247"/>
      <c r="I9" s="237"/>
      <c r="J9" s="236"/>
      <c r="K9" s="296"/>
      <c r="L9" s="236"/>
    </row>
    <row r="10" spans="1:29" x14ac:dyDescent="0.2">
      <c r="A10" s="239"/>
      <c r="B10" s="238" t="s">
        <v>94</v>
      </c>
      <c r="C10" s="348"/>
      <c r="D10" s="247"/>
      <c r="E10" s="247">
        <f>1.4+0.5+0.5</f>
        <v>2.4</v>
      </c>
      <c r="F10" s="247">
        <f>2.3+1.3+0.5</f>
        <v>4.0999999999999996</v>
      </c>
      <c r="G10" s="247" t="s">
        <v>94</v>
      </c>
      <c r="H10" s="247" t="s">
        <v>94</v>
      </c>
      <c r="I10" s="247" t="s">
        <v>94</v>
      </c>
      <c r="J10" s="247">
        <f>E10*F10</f>
        <v>9.8399999999999981</v>
      </c>
      <c r="K10" s="296"/>
      <c r="L10" s="236"/>
    </row>
    <row r="11" spans="1:29" x14ac:dyDescent="0.2">
      <c r="A11" s="239"/>
      <c r="B11" s="238" t="s">
        <v>94</v>
      </c>
      <c r="C11" s="348"/>
      <c r="D11" s="247"/>
      <c r="E11" s="247" t="s">
        <v>94</v>
      </c>
      <c r="F11" s="247" t="s">
        <v>94</v>
      </c>
      <c r="G11" s="247" t="s">
        <v>94</v>
      </c>
      <c r="H11" s="247" t="s">
        <v>94</v>
      </c>
      <c r="I11" s="237" t="s">
        <v>94</v>
      </c>
      <c r="J11" s="247" t="s">
        <v>94</v>
      </c>
      <c r="K11" s="296"/>
      <c r="L11" s="236"/>
    </row>
    <row r="12" spans="1:29" x14ac:dyDescent="0.2">
      <c r="A12" s="270"/>
      <c r="B12" s="276" t="s">
        <v>21</v>
      </c>
      <c r="C12" s="349"/>
      <c r="D12" s="295"/>
      <c r="E12" s="298"/>
      <c r="F12" s="341"/>
      <c r="G12" s="342"/>
      <c r="H12" s="342"/>
      <c r="I12" s="342"/>
      <c r="J12" s="343">
        <f>SUM(J9:J11)</f>
        <v>9.8399999999999981</v>
      </c>
      <c r="K12" s="344" t="str">
        <f>C9</f>
        <v>M2</v>
      </c>
      <c r="L12" s="357"/>
    </row>
    <row r="13" spans="1:29" ht="38.25" customHeight="1" x14ac:dyDescent="0.2">
      <c r="A13" s="392" t="s">
        <v>8</v>
      </c>
      <c r="B13" s="242" t="s">
        <v>374</v>
      </c>
      <c r="C13" s="302" t="s">
        <v>316</v>
      </c>
      <c r="D13" s="247">
        <f>J16</f>
        <v>11.399999999999999</v>
      </c>
      <c r="E13" s="247"/>
      <c r="F13" s="247"/>
      <c r="G13" s="247"/>
      <c r="H13" s="247"/>
      <c r="I13" s="237"/>
      <c r="J13" s="236">
        <f>E14+F14*I14</f>
        <v>9</v>
      </c>
      <c r="K13" s="296"/>
      <c r="L13" s="236"/>
      <c r="M13" s="401"/>
    </row>
    <row r="14" spans="1:29" x14ac:dyDescent="0.2">
      <c r="A14" s="239"/>
      <c r="B14" s="238" t="s">
        <v>94</v>
      </c>
      <c r="C14" s="348"/>
      <c r="D14" s="247"/>
      <c r="E14" s="247">
        <v>2.4</v>
      </c>
      <c r="F14" s="247">
        <v>3.3</v>
      </c>
      <c r="G14" s="247" t="s">
        <v>94</v>
      </c>
      <c r="H14" s="247"/>
      <c r="I14" s="247">
        <v>2</v>
      </c>
      <c r="J14" s="397">
        <f>(E14+F14)*I14</f>
        <v>11.399999999999999</v>
      </c>
      <c r="K14" s="400"/>
      <c r="L14" s="236"/>
      <c r="N14" s="385"/>
    </row>
    <row r="15" spans="1:29" x14ac:dyDescent="0.2">
      <c r="A15" s="239"/>
      <c r="B15" s="238" t="s">
        <v>94</v>
      </c>
      <c r="C15" s="348"/>
      <c r="D15" s="247"/>
      <c r="E15" s="247" t="s">
        <v>94</v>
      </c>
      <c r="F15" s="247" t="s">
        <v>94</v>
      </c>
      <c r="G15" s="247"/>
      <c r="H15" s="247"/>
      <c r="I15" s="237" t="s">
        <v>94</v>
      </c>
      <c r="J15" s="247" t="s">
        <v>94</v>
      </c>
      <c r="K15" s="296"/>
      <c r="L15" s="236"/>
    </row>
    <row r="16" spans="1:29" x14ac:dyDescent="0.2">
      <c r="A16" s="270"/>
      <c r="B16" s="276" t="s">
        <v>21</v>
      </c>
      <c r="C16" s="349"/>
      <c r="D16" s="295"/>
      <c r="E16" s="298"/>
      <c r="F16" s="341"/>
      <c r="G16" s="342"/>
      <c r="H16" s="342"/>
      <c r="I16" s="342"/>
      <c r="J16" s="343">
        <f>SUM(J14:J15)</f>
        <v>11.399999999999999</v>
      </c>
      <c r="K16" s="344" t="str">
        <f>C13</f>
        <v>M</v>
      </c>
      <c r="L16" s="357"/>
    </row>
    <row r="17" spans="1:13" ht="30.6" customHeight="1" x14ac:dyDescent="0.2">
      <c r="A17" s="243" t="s">
        <v>9</v>
      </c>
      <c r="B17" s="242" t="s">
        <v>362</v>
      </c>
      <c r="C17" s="302" t="s">
        <v>313</v>
      </c>
      <c r="D17" s="247">
        <f>J21</f>
        <v>0.20399999999999999</v>
      </c>
      <c r="E17" s="247"/>
      <c r="F17" s="247"/>
      <c r="G17" s="247"/>
      <c r="H17" s="247"/>
      <c r="I17" s="237"/>
      <c r="J17" s="236"/>
      <c r="K17" s="296"/>
      <c r="L17" s="236"/>
    </row>
    <row r="18" spans="1:13" x14ac:dyDescent="0.2">
      <c r="A18" s="239"/>
      <c r="B18" s="238"/>
      <c r="C18" s="348"/>
      <c r="D18" s="247"/>
      <c r="E18" s="247">
        <v>2.2999999999999998</v>
      </c>
      <c r="F18" s="247">
        <v>0.15</v>
      </c>
      <c r="G18" s="247">
        <v>0.2</v>
      </c>
      <c r="H18" s="247" t="s">
        <v>94</v>
      </c>
      <c r="I18" s="247">
        <v>2</v>
      </c>
      <c r="J18" s="247">
        <f>E18*F18*G18*I18</f>
        <v>0.13799999999999998</v>
      </c>
      <c r="K18" s="296"/>
      <c r="L18" s="236"/>
      <c r="M18" s="212" t="s">
        <v>367</v>
      </c>
    </row>
    <row r="19" spans="1:13" x14ac:dyDescent="0.2">
      <c r="A19" s="239"/>
      <c r="B19" s="238"/>
      <c r="C19" s="348"/>
      <c r="D19" s="247"/>
      <c r="E19" s="247">
        <v>1.1000000000000001</v>
      </c>
      <c r="F19" s="247">
        <v>0.15</v>
      </c>
      <c r="G19" s="247">
        <v>0.2</v>
      </c>
      <c r="H19" s="247" t="s">
        <v>94</v>
      </c>
      <c r="I19" s="247">
        <v>2</v>
      </c>
      <c r="J19" s="247">
        <f>E19*F19*G19*I19</f>
        <v>6.6000000000000003E-2</v>
      </c>
      <c r="K19" s="296"/>
      <c r="L19" s="236"/>
      <c r="M19" s="212" t="s">
        <v>367</v>
      </c>
    </row>
    <row r="20" spans="1:13" x14ac:dyDescent="0.2">
      <c r="A20" s="239"/>
      <c r="B20" s="238" t="s">
        <v>94</v>
      </c>
      <c r="C20" s="348"/>
      <c r="D20" s="247"/>
      <c r="E20" s="247" t="s">
        <v>94</v>
      </c>
      <c r="F20" s="247" t="s">
        <v>94</v>
      </c>
      <c r="G20" s="247" t="s">
        <v>94</v>
      </c>
      <c r="H20" s="247" t="s">
        <v>94</v>
      </c>
      <c r="I20" s="237" t="s">
        <v>94</v>
      </c>
      <c r="J20" s="247" t="s">
        <v>94</v>
      </c>
      <c r="K20" s="296"/>
      <c r="L20" s="236"/>
    </row>
    <row r="21" spans="1:13" x14ac:dyDescent="0.2">
      <c r="A21" s="270"/>
      <c r="B21" s="295" t="s">
        <v>21</v>
      </c>
      <c r="C21" s="349"/>
      <c r="D21" s="295"/>
      <c r="E21" s="298"/>
      <c r="F21" s="341"/>
      <c r="G21" s="342"/>
      <c r="H21" s="342"/>
      <c r="I21" s="342"/>
      <c r="J21" s="343">
        <f>SUM(J18:J20)</f>
        <v>0.20399999999999999</v>
      </c>
      <c r="K21" s="344" t="str">
        <f>C17</f>
        <v>M3</v>
      </c>
      <c r="L21" s="357"/>
    </row>
    <row r="22" spans="1:13" ht="38.25" customHeight="1" x14ac:dyDescent="0.2">
      <c r="A22" s="243" t="s">
        <v>20</v>
      </c>
      <c r="B22" s="242" t="s">
        <v>363</v>
      </c>
      <c r="C22" s="302" t="s">
        <v>286</v>
      </c>
      <c r="D22" s="247">
        <f>J26</f>
        <v>2.7199999999999998</v>
      </c>
      <c r="E22" s="247"/>
      <c r="F22" s="247"/>
      <c r="G22" s="247"/>
      <c r="H22" s="247"/>
      <c r="I22" s="237"/>
      <c r="J22" s="236"/>
      <c r="K22" s="296"/>
      <c r="L22" s="236"/>
    </row>
    <row r="23" spans="1:13" x14ac:dyDescent="0.2">
      <c r="A23" s="239"/>
      <c r="B23" s="238" t="s">
        <v>94</v>
      </c>
      <c r="C23" s="348"/>
      <c r="D23" s="247"/>
      <c r="E23" s="247">
        <v>2.2999999999999998</v>
      </c>
      <c r="F23" s="247"/>
      <c r="G23" s="247">
        <v>0.2</v>
      </c>
      <c r="H23" s="247" t="s">
        <v>94</v>
      </c>
      <c r="I23" s="247">
        <v>4</v>
      </c>
      <c r="J23" s="247">
        <f>E23*G23*I23</f>
        <v>1.8399999999999999</v>
      </c>
      <c r="K23" s="296"/>
      <c r="L23" s="236"/>
      <c r="M23" s="212" t="s">
        <v>366</v>
      </c>
    </row>
    <row r="24" spans="1:13" x14ac:dyDescent="0.2">
      <c r="A24" s="239"/>
      <c r="B24" s="238" t="s">
        <v>94</v>
      </c>
      <c r="C24" s="348"/>
      <c r="D24" s="247"/>
      <c r="E24" s="247">
        <v>1.1000000000000001</v>
      </c>
      <c r="F24" s="247"/>
      <c r="G24" s="247">
        <v>0.2</v>
      </c>
      <c r="H24" s="247" t="s">
        <v>94</v>
      </c>
      <c r="I24" s="247">
        <v>4</v>
      </c>
      <c r="J24" s="247">
        <f>E24*G24*I24</f>
        <v>0.88000000000000012</v>
      </c>
      <c r="K24" s="296"/>
      <c r="L24" s="236"/>
      <c r="M24" s="212" t="s">
        <v>366</v>
      </c>
    </row>
    <row r="25" spans="1:13" x14ac:dyDescent="0.2">
      <c r="A25" s="239"/>
      <c r="B25" s="238" t="s">
        <v>94</v>
      </c>
      <c r="C25" s="348"/>
      <c r="D25" s="247"/>
      <c r="E25" s="247" t="s">
        <v>94</v>
      </c>
      <c r="F25" s="247" t="s">
        <v>94</v>
      </c>
      <c r="G25" s="247" t="s">
        <v>94</v>
      </c>
      <c r="H25" s="247" t="s">
        <v>94</v>
      </c>
      <c r="I25" s="237" t="s">
        <v>94</v>
      </c>
      <c r="J25" s="247" t="s">
        <v>94</v>
      </c>
      <c r="K25" s="296"/>
      <c r="L25" s="236"/>
    </row>
    <row r="26" spans="1:13" x14ac:dyDescent="0.2">
      <c r="A26" s="270"/>
      <c r="B26" s="276" t="s">
        <v>21</v>
      </c>
      <c r="C26" s="349"/>
      <c r="D26" s="295"/>
      <c r="E26" s="298"/>
      <c r="F26" s="341"/>
      <c r="G26" s="342"/>
      <c r="H26" s="342"/>
      <c r="I26" s="342"/>
      <c r="J26" s="343">
        <f>SUM(J23:J25)</f>
        <v>2.7199999999999998</v>
      </c>
      <c r="K26" s="344" t="str">
        <f>C22</f>
        <v>M2</v>
      </c>
      <c r="L26" s="357"/>
    </row>
    <row r="27" spans="1:13" ht="30.2" customHeight="1" x14ac:dyDescent="0.2">
      <c r="A27" s="243" t="s">
        <v>28</v>
      </c>
      <c r="B27" s="242" t="s">
        <v>306</v>
      </c>
      <c r="C27" s="302" t="s">
        <v>313</v>
      </c>
      <c r="D27" s="247">
        <f>J31</f>
        <v>0.20399999999999999</v>
      </c>
      <c r="E27" s="247"/>
      <c r="F27" s="247"/>
      <c r="G27" s="247"/>
      <c r="H27" s="247"/>
      <c r="I27" s="237"/>
      <c r="J27" s="236"/>
      <c r="K27" s="296"/>
      <c r="L27" s="236"/>
    </row>
    <row r="28" spans="1:13" x14ac:dyDescent="0.2">
      <c r="A28" s="239"/>
      <c r="B28" s="238" t="s">
        <v>94</v>
      </c>
      <c r="C28" s="348"/>
      <c r="D28" s="247"/>
      <c r="E28" s="247">
        <v>2.2999999999999998</v>
      </c>
      <c r="F28" s="247">
        <v>0.15</v>
      </c>
      <c r="G28" s="247">
        <v>0.2</v>
      </c>
      <c r="H28" s="247" t="s">
        <v>94</v>
      </c>
      <c r="I28" s="247">
        <v>2</v>
      </c>
      <c r="J28" s="247">
        <f>E28*F28*G28*I28</f>
        <v>0.13799999999999998</v>
      </c>
      <c r="K28" s="296"/>
      <c r="L28" s="236"/>
      <c r="M28" s="212" t="s">
        <v>366</v>
      </c>
    </row>
    <row r="29" spans="1:13" x14ac:dyDescent="0.2">
      <c r="A29" s="239"/>
      <c r="B29" s="238" t="s">
        <v>94</v>
      </c>
      <c r="C29" s="348"/>
      <c r="D29" s="247"/>
      <c r="E29" s="247">
        <v>1.1000000000000001</v>
      </c>
      <c r="F29" s="247">
        <v>0.15</v>
      </c>
      <c r="G29" s="247">
        <v>0.2</v>
      </c>
      <c r="H29" s="247" t="s">
        <v>94</v>
      </c>
      <c r="I29" s="247">
        <v>2</v>
      </c>
      <c r="J29" s="247">
        <f>E29*F29*G29*I29</f>
        <v>6.6000000000000003E-2</v>
      </c>
      <c r="K29" s="296"/>
      <c r="L29" s="236"/>
      <c r="M29" s="212" t="s">
        <v>366</v>
      </c>
    </row>
    <row r="30" spans="1:13" x14ac:dyDescent="0.2">
      <c r="A30" s="239"/>
      <c r="B30" s="238" t="s">
        <v>94</v>
      </c>
      <c r="C30" s="348"/>
      <c r="D30" s="247"/>
      <c r="E30" s="247" t="s">
        <v>94</v>
      </c>
      <c r="F30" s="247" t="s">
        <v>94</v>
      </c>
      <c r="G30" s="247" t="s">
        <v>94</v>
      </c>
      <c r="H30" s="247" t="s">
        <v>94</v>
      </c>
      <c r="I30" s="237" t="s">
        <v>94</v>
      </c>
      <c r="J30" s="247" t="s">
        <v>94</v>
      </c>
      <c r="K30" s="296"/>
      <c r="L30" s="236"/>
    </row>
    <row r="31" spans="1:13" x14ac:dyDescent="0.2">
      <c r="A31" s="270"/>
      <c r="B31" s="276" t="s">
        <v>21</v>
      </c>
      <c r="C31" s="349"/>
      <c r="D31" s="295"/>
      <c r="E31" s="298"/>
      <c r="F31" s="341"/>
      <c r="G31" s="342"/>
      <c r="H31" s="342"/>
      <c r="I31" s="342"/>
      <c r="J31" s="343">
        <f>SUM(J28:J30)</f>
        <v>0.20399999999999999</v>
      </c>
      <c r="K31" s="344" t="str">
        <f>C27</f>
        <v>M3</v>
      </c>
      <c r="L31" s="357"/>
    </row>
    <row r="32" spans="1:13" ht="30.2" customHeight="1" x14ac:dyDescent="0.2">
      <c r="A32" s="243" t="s">
        <v>29</v>
      </c>
      <c r="B32" s="242" t="s">
        <v>391</v>
      </c>
      <c r="C32" s="302" t="s">
        <v>313</v>
      </c>
      <c r="D32" s="247">
        <f>J36</f>
        <v>0.20399999999999999</v>
      </c>
      <c r="E32" s="247"/>
      <c r="F32" s="247"/>
      <c r="G32" s="247"/>
      <c r="H32" s="247"/>
      <c r="I32" s="237"/>
      <c r="J32" s="236"/>
      <c r="K32" s="296"/>
      <c r="L32" s="236"/>
    </row>
    <row r="33" spans="1:15" x14ac:dyDescent="0.2">
      <c r="A33" s="239"/>
      <c r="B33" s="238" t="s">
        <v>94</v>
      </c>
      <c r="C33" s="348"/>
      <c r="D33" s="247"/>
      <c r="E33" s="247">
        <v>2.2999999999999998</v>
      </c>
      <c r="F33" s="247">
        <v>0.15</v>
      </c>
      <c r="G33" s="247">
        <v>0.2</v>
      </c>
      <c r="H33" s="247" t="s">
        <v>94</v>
      </c>
      <c r="I33" s="247">
        <v>2</v>
      </c>
      <c r="J33" s="247">
        <f>E33*F33*G33*I33</f>
        <v>0.13799999999999998</v>
      </c>
      <c r="K33" s="296"/>
      <c r="L33" s="236"/>
      <c r="M33" s="212" t="s">
        <v>366</v>
      </c>
    </row>
    <row r="34" spans="1:15" x14ac:dyDescent="0.2">
      <c r="A34" s="239"/>
      <c r="B34" s="238"/>
      <c r="C34" s="348"/>
      <c r="D34" s="247"/>
      <c r="E34" s="247">
        <v>1.1000000000000001</v>
      </c>
      <c r="F34" s="247">
        <v>0.15</v>
      </c>
      <c r="G34" s="247">
        <v>0.2</v>
      </c>
      <c r="H34" s="247" t="s">
        <v>94</v>
      </c>
      <c r="I34" s="247">
        <v>2</v>
      </c>
      <c r="J34" s="247">
        <f>E34*F34*G34*I34</f>
        <v>6.6000000000000003E-2</v>
      </c>
      <c r="K34" s="296"/>
      <c r="L34" s="236"/>
      <c r="M34" s="212" t="s">
        <v>366</v>
      </c>
    </row>
    <row r="35" spans="1:15" x14ac:dyDescent="0.2">
      <c r="A35" s="239"/>
      <c r="B35" s="238" t="s">
        <v>94</v>
      </c>
      <c r="C35" s="348"/>
      <c r="D35" s="247"/>
      <c r="E35" s="247" t="s">
        <v>94</v>
      </c>
      <c r="F35" s="247" t="s">
        <v>94</v>
      </c>
      <c r="G35" s="247" t="s">
        <v>94</v>
      </c>
      <c r="H35" s="247" t="s">
        <v>94</v>
      </c>
      <c r="I35" s="237" t="s">
        <v>94</v>
      </c>
      <c r="J35" s="247" t="s">
        <v>94</v>
      </c>
      <c r="K35" s="296"/>
      <c r="L35" s="236"/>
    </row>
    <row r="36" spans="1:15" x14ac:dyDescent="0.2">
      <c r="A36" s="270"/>
      <c r="B36" s="276" t="s">
        <v>21</v>
      </c>
      <c r="C36" s="349"/>
      <c r="D36" s="295"/>
      <c r="E36" s="298"/>
      <c r="F36" s="341"/>
      <c r="G36" s="342"/>
      <c r="H36" s="342"/>
      <c r="I36" s="342"/>
      <c r="J36" s="343">
        <f>SUM(J33:J35)</f>
        <v>0.20399999999999999</v>
      </c>
      <c r="K36" s="344" t="str">
        <f>C32</f>
        <v>M3</v>
      </c>
      <c r="L36" s="357"/>
    </row>
    <row r="37" spans="1:15" ht="27" customHeight="1" x14ac:dyDescent="0.2">
      <c r="A37" s="243" t="s">
        <v>30</v>
      </c>
      <c r="B37" s="388" t="s">
        <v>365</v>
      </c>
      <c r="C37" s="387"/>
      <c r="D37" s="247">
        <f>J41</f>
        <v>0.20399999999999999</v>
      </c>
      <c r="E37" s="247"/>
      <c r="F37" s="247"/>
      <c r="G37" s="247"/>
      <c r="H37" s="247"/>
      <c r="I37" s="237"/>
      <c r="J37" s="236"/>
      <c r="K37" s="296"/>
      <c r="L37" s="236"/>
    </row>
    <row r="38" spans="1:15" x14ac:dyDescent="0.2">
      <c r="A38" s="239"/>
      <c r="B38" s="238" t="s">
        <v>94</v>
      </c>
      <c r="C38" s="348"/>
      <c r="D38" s="247"/>
      <c r="E38" s="247">
        <v>2.2999999999999998</v>
      </c>
      <c r="F38" s="247">
        <v>0.15</v>
      </c>
      <c r="G38" s="247">
        <v>0.2</v>
      </c>
      <c r="H38" s="247" t="s">
        <v>94</v>
      </c>
      <c r="I38" s="247">
        <v>2</v>
      </c>
      <c r="J38" s="247">
        <f>E38*F38*G38*I38</f>
        <v>0.13799999999999998</v>
      </c>
      <c r="K38" s="296"/>
      <c r="L38" s="236"/>
      <c r="M38" s="212" t="s">
        <v>366</v>
      </c>
    </row>
    <row r="39" spans="1:15" x14ac:dyDescent="0.2">
      <c r="A39" s="239"/>
      <c r="B39" s="238" t="s">
        <v>94</v>
      </c>
      <c r="C39" s="348"/>
      <c r="D39" s="247"/>
      <c r="E39" s="247">
        <v>1.1000000000000001</v>
      </c>
      <c r="F39" s="247">
        <v>0.15</v>
      </c>
      <c r="G39" s="247">
        <v>0.2</v>
      </c>
      <c r="H39" s="247" t="s">
        <v>94</v>
      </c>
      <c r="I39" s="247">
        <v>2</v>
      </c>
      <c r="J39" s="247">
        <f>E39*F39*G39*I39</f>
        <v>6.6000000000000003E-2</v>
      </c>
      <c r="K39" s="296"/>
      <c r="L39" s="236"/>
      <c r="M39" s="212" t="s">
        <v>366</v>
      </c>
    </row>
    <row r="40" spans="1:15" x14ac:dyDescent="0.2">
      <c r="A40" s="239"/>
      <c r="B40" s="238" t="s">
        <v>94</v>
      </c>
      <c r="C40" s="348"/>
      <c r="D40" s="247"/>
      <c r="E40" s="247" t="s">
        <v>94</v>
      </c>
      <c r="F40" s="247" t="s">
        <v>94</v>
      </c>
      <c r="G40" s="247" t="s">
        <v>94</v>
      </c>
      <c r="H40" s="247" t="s">
        <v>94</v>
      </c>
      <c r="I40" s="237" t="s">
        <v>94</v>
      </c>
      <c r="J40" s="247" t="s">
        <v>94</v>
      </c>
      <c r="K40" s="296"/>
      <c r="L40" s="236"/>
    </row>
    <row r="41" spans="1:15" x14ac:dyDescent="0.2">
      <c r="A41" s="270"/>
      <c r="B41" s="276" t="s">
        <v>21</v>
      </c>
      <c r="C41" s="349"/>
      <c r="D41" s="295"/>
      <c r="E41" s="298"/>
      <c r="F41" s="341"/>
      <c r="G41" s="342"/>
      <c r="H41" s="342"/>
      <c r="I41" s="342"/>
      <c r="J41" s="343">
        <f>SUM(J38:J40)</f>
        <v>0.20399999999999999</v>
      </c>
      <c r="K41" s="344">
        <f>C37</f>
        <v>0</v>
      </c>
      <c r="L41" s="357"/>
    </row>
    <row r="42" spans="1:15" ht="30.2" customHeight="1" x14ac:dyDescent="0.2">
      <c r="A42" s="243" t="s">
        <v>31</v>
      </c>
      <c r="B42" s="242" t="s">
        <v>12</v>
      </c>
      <c r="C42" s="302" t="s">
        <v>286</v>
      </c>
      <c r="D42" s="247">
        <f>J48</f>
        <v>3.7399999999999993</v>
      </c>
      <c r="E42" s="247"/>
      <c r="F42" s="247"/>
      <c r="G42" s="247"/>
      <c r="H42" s="247"/>
      <c r="I42" s="237"/>
      <c r="J42" s="236"/>
      <c r="K42" s="296"/>
      <c r="L42" s="236"/>
    </row>
    <row r="43" spans="1:15" x14ac:dyDescent="0.2">
      <c r="A43" s="239"/>
      <c r="B43" s="238"/>
      <c r="C43" s="348"/>
      <c r="D43" s="247"/>
      <c r="E43" s="247">
        <v>2.2999999999999998</v>
      </c>
      <c r="F43" s="247"/>
      <c r="G43" s="247">
        <v>0.25</v>
      </c>
      <c r="H43" s="247" t="s">
        <v>94</v>
      </c>
      <c r="I43" s="247">
        <v>2</v>
      </c>
      <c r="J43" s="247">
        <f>E43*G43*I43</f>
        <v>1.1499999999999999</v>
      </c>
      <c r="K43" s="296"/>
      <c r="L43" s="236"/>
      <c r="M43" s="212"/>
    </row>
    <row r="44" spans="1:15" x14ac:dyDescent="0.2">
      <c r="A44" s="239"/>
      <c r="B44" s="238"/>
      <c r="C44" s="348"/>
      <c r="D44" s="247"/>
      <c r="E44" s="247">
        <v>1.1000000000000001</v>
      </c>
      <c r="F44" s="247"/>
      <c r="G44" s="247">
        <v>0.25</v>
      </c>
      <c r="H44" s="247" t="s">
        <v>94</v>
      </c>
      <c r="I44" s="247">
        <v>2</v>
      </c>
      <c r="J44" s="247">
        <f>E44*G44*I44</f>
        <v>0.55000000000000004</v>
      </c>
      <c r="K44" s="296"/>
      <c r="L44" s="236"/>
      <c r="O44" s="385"/>
    </row>
    <row r="45" spans="1:15" x14ac:dyDescent="0.2">
      <c r="A45" s="239"/>
      <c r="B45" s="238"/>
      <c r="C45" s="348"/>
      <c r="D45" s="247"/>
      <c r="E45" s="247">
        <v>2.2999999999999998</v>
      </c>
      <c r="F45" s="247"/>
      <c r="G45" s="247">
        <v>0.25</v>
      </c>
      <c r="H45" s="247"/>
      <c r="I45" s="247">
        <v>2</v>
      </c>
      <c r="J45" s="247">
        <f>E45*G45*I45</f>
        <v>1.1499999999999999</v>
      </c>
      <c r="K45" s="296"/>
      <c r="L45" s="236"/>
      <c r="O45" s="385"/>
    </row>
    <row r="46" spans="1:15" x14ac:dyDescent="0.2">
      <c r="A46" s="239"/>
      <c r="B46" s="238"/>
      <c r="C46" s="348"/>
      <c r="D46" s="247"/>
      <c r="E46" s="247">
        <v>1.1000000000000001</v>
      </c>
      <c r="F46" s="247"/>
      <c r="G46" s="247">
        <v>0.25</v>
      </c>
      <c r="H46" s="247"/>
      <c r="I46" s="247">
        <v>2</v>
      </c>
      <c r="J46" s="247">
        <f>E46*G46*I46</f>
        <v>0.55000000000000004</v>
      </c>
      <c r="K46" s="296"/>
      <c r="L46" s="236"/>
    </row>
    <row r="47" spans="1:15" x14ac:dyDescent="0.2">
      <c r="A47" s="239"/>
      <c r="B47" s="238"/>
      <c r="C47" s="348"/>
      <c r="D47" s="247"/>
      <c r="E47" s="247"/>
      <c r="F47" s="247"/>
      <c r="G47" s="247"/>
      <c r="H47" s="247"/>
      <c r="I47" s="247"/>
      <c r="J47" s="247"/>
      <c r="K47" s="296"/>
      <c r="L47" s="236"/>
    </row>
    <row r="48" spans="1:15" x14ac:dyDescent="0.2">
      <c r="A48" s="270"/>
      <c r="B48" s="276" t="s">
        <v>21</v>
      </c>
      <c r="C48" s="870" t="s">
        <v>368</v>
      </c>
      <c r="D48" s="871"/>
      <c r="E48" s="872"/>
      <c r="F48" s="341"/>
      <c r="G48" s="342"/>
      <c r="H48" s="342"/>
      <c r="I48" s="342"/>
      <c r="J48" s="343">
        <f>SUM(J43:J47)*110/100</f>
        <v>3.7399999999999993</v>
      </c>
      <c r="K48" s="344" t="str">
        <f>C42</f>
        <v>M2</v>
      </c>
      <c r="L48" s="357"/>
      <c r="M48" s="212" t="s">
        <v>366</v>
      </c>
      <c r="O48" s="386"/>
    </row>
    <row r="49" spans="1:12" ht="38.25" customHeight="1" x14ac:dyDescent="0.2">
      <c r="A49" s="243" t="s">
        <v>11</v>
      </c>
      <c r="B49" s="242" t="s">
        <v>307</v>
      </c>
      <c r="C49" s="302" t="s">
        <v>286</v>
      </c>
      <c r="D49" s="247">
        <f>J56</f>
        <v>14.234999999999999</v>
      </c>
      <c r="E49" s="247"/>
      <c r="F49" s="247"/>
      <c r="G49" s="247"/>
      <c r="H49" s="247"/>
      <c r="I49" s="237"/>
      <c r="J49" s="236"/>
      <c r="K49" s="296"/>
      <c r="L49" s="236"/>
    </row>
    <row r="50" spans="1:12" x14ac:dyDescent="0.2">
      <c r="A50" s="239"/>
      <c r="B50" s="238" t="s">
        <v>294</v>
      </c>
      <c r="C50" s="348"/>
      <c r="D50" s="247"/>
      <c r="E50" s="247">
        <v>1.1000000000000001</v>
      </c>
      <c r="F50" s="247"/>
      <c r="G50" s="346">
        <v>2.2999999999999998</v>
      </c>
      <c r="H50" s="247" t="s">
        <v>284</v>
      </c>
      <c r="I50" s="247">
        <v>2</v>
      </c>
      <c r="J50" s="247">
        <f>I50*G50*E50</f>
        <v>5.0599999999999996</v>
      </c>
      <c r="K50" s="296"/>
      <c r="L50" s="236"/>
    </row>
    <row r="51" spans="1:12" x14ac:dyDescent="0.2">
      <c r="A51" s="239"/>
      <c r="B51" s="238" t="s">
        <v>293</v>
      </c>
      <c r="C51" s="348"/>
      <c r="D51" s="247"/>
      <c r="E51" s="247">
        <v>2.2999999999999998</v>
      </c>
      <c r="F51" s="247"/>
      <c r="G51" s="247">
        <v>2.25</v>
      </c>
      <c r="H51" s="247"/>
      <c r="I51" s="247">
        <v>1</v>
      </c>
      <c r="J51" s="247">
        <f>I51*G51*E51</f>
        <v>5.1749999999999998</v>
      </c>
      <c r="K51" s="296"/>
      <c r="L51" s="236"/>
    </row>
    <row r="52" spans="1:12" x14ac:dyDescent="0.2">
      <c r="A52" s="239"/>
      <c r="B52" s="238" t="s">
        <v>292</v>
      </c>
      <c r="C52" s="348"/>
      <c r="D52" s="247"/>
      <c r="E52" s="247">
        <v>2.2999999999999998</v>
      </c>
      <c r="F52" s="247"/>
      <c r="G52" s="247">
        <v>2.5</v>
      </c>
      <c r="H52" s="247"/>
      <c r="I52" s="247">
        <v>1</v>
      </c>
      <c r="J52" s="247">
        <f>I52*G52*E52</f>
        <v>5.75</v>
      </c>
      <c r="K52" s="296"/>
      <c r="L52" s="236"/>
    </row>
    <row r="53" spans="1:12" x14ac:dyDescent="0.2">
      <c r="A53" s="239"/>
      <c r="B53" s="238" t="s">
        <v>281</v>
      </c>
      <c r="C53" s="348"/>
      <c r="D53" s="247"/>
      <c r="E53" s="247">
        <v>0.7</v>
      </c>
      <c r="F53" s="247">
        <v>2.1</v>
      </c>
      <c r="G53" s="247" t="s">
        <v>94</v>
      </c>
      <c r="H53" s="247"/>
      <c r="I53" s="247"/>
      <c r="J53" s="244">
        <f>E53*F53</f>
        <v>1.47</v>
      </c>
      <c r="K53" s="296"/>
      <c r="L53" s="236"/>
    </row>
    <row r="54" spans="1:12" x14ac:dyDescent="0.2">
      <c r="A54" s="239"/>
      <c r="B54" s="238" t="s">
        <v>280</v>
      </c>
      <c r="C54" s="348"/>
      <c r="D54" s="247"/>
      <c r="E54" s="247">
        <v>0.4</v>
      </c>
      <c r="F54" s="247">
        <v>0.7</v>
      </c>
      <c r="G54" s="247" t="s">
        <v>94</v>
      </c>
      <c r="H54" s="247"/>
      <c r="I54" s="247"/>
      <c r="J54" s="244">
        <f>E54*F54</f>
        <v>0.27999999999999997</v>
      </c>
      <c r="K54" s="296"/>
      <c r="L54" s="236"/>
    </row>
    <row r="55" spans="1:12" x14ac:dyDescent="0.2">
      <c r="A55" s="239"/>
      <c r="B55" s="238" t="s">
        <v>94</v>
      </c>
      <c r="C55" s="348"/>
      <c r="D55" s="247"/>
      <c r="E55" s="247" t="s">
        <v>94</v>
      </c>
      <c r="F55" s="247" t="s">
        <v>94</v>
      </c>
      <c r="G55" s="247" t="s">
        <v>94</v>
      </c>
      <c r="H55" s="247" t="s">
        <v>94</v>
      </c>
      <c r="I55" s="237" t="s">
        <v>94</v>
      </c>
      <c r="J55" s="247" t="s">
        <v>94</v>
      </c>
      <c r="K55" s="296"/>
      <c r="L55" s="236"/>
    </row>
    <row r="56" spans="1:12" x14ac:dyDescent="0.2">
      <c r="A56" s="270"/>
      <c r="B56" s="276" t="s">
        <v>21</v>
      </c>
      <c r="C56" s="349"/>
      <c r="D56" s="295"/>
      <c r="E56" s="298"/>
      <c r="F56" s="341"/>
      <c r="G56" s="342"/>
      <c r="H56" s="342"/>
      <c r="I56" s="342"/>
      <c r="J56" s="343">
        <f>J50+J51+J52-J53-J54</f>
        <v>14.234999999999999</v>
      </c>
      <c r="K56" s="344" t="str">
        <f>C49</f>
        <v>M2</v>
      </c>
      <c r="L56" s="357"/>
    </row>
    <row r="57" spans="1:12" ht="54.95" customHeight="1" x14ac:dyDescent="0.2">
      <c r="A57" s="243" t="s">
        <v>13</v>
      </c>
      <c r="B57" s="242" t="s">
        <v>265</v>
      </c>
      <c r="C57" s="302" t="s">
        <v>286</v>
      </c>
      <c r="D57" s="247">
        <f>J67</f>
        <v>27.804999999999996</v>
      </c>
      <c r="E57" s="247"/>
      <c r="F57" s="247"/>
      <c r="G57" s="247"/>
      <c r="H57" s="247"/>
      <c r="I57" s="237"/>
      <c r="J57" s="236"/>
      <c r="K57" s="296"/>
      <c r="L57" s="236"/>
    </row>
    <row r="58" spans="1:12" x14ac:dyDescent="0.2">
      <c r="A58" s="239"/>
      <c r="B58" s="238" t="s">
        <v>285</v>
      </c>
      <c r="C58" s="348"/>
      <c r="D58" s="247"/>
      <c r="E58" s="247">
        <v>1.4</v>
      </c>
      <c r="F58" s="247"/>
      <c r="G58" s="346">
        <v>2.2999999999999998</v>
      </c>
      <c r="H58" s="247" t="s">
        <v>284</v>
      </c>
      <c r="I58" s="247">
        <v>2</v>
      </c>
      <c r="J58" s="247">
        <f t="shared" ref="J58:J63" si="0">I58*G58*E58</f>
        <v>6.4399999999999995</v>
      </c>
      <c r="K58" s="296"/>
      <c r="L58" s="236"/>
    </row>
    <row r="59" spans="1:12" x14ac:dyDescent="0.2">
      <c r="A59" s="239"/>
      <c r="B59" s="238" t="s">
        <v>283</v>
      </c>
      <c r="C59" s="348"/>
      <c r="D59" s="247"/>
      <c r="E59" s="247">
        <v>2.2999999999999998</v>
      </c>
      <c r="F59" s="247"/>
      <c r="G59" s="247">
        <v>2.25</v>
      </c>
      <c r="H59" s="247"/>
      <c r="I59" s="247">
        <v>1</v>
      </c>
      <c r="J59" s="247">
        <f t="shared" si="0"/>
        <v>5.1749999999999998</v>
      </c>
      <c r="K59" s="296"/>
      <c r="L59" s="236"/>
    </row>
    <row r="60" spans="1:12" x14ac:dyDescent="0.2">
      <c r="A60" s="239"/>
      <c r="B60" s="238" t="s">
        <v>282</v>
      </c>
      <c r="C60" s="348"/>
      <c r="D60" s="247"/>
      <c r="E60" s="247">
        <v>2.2999999999999998</v>
      </c>
      <c r="F60" s="247"/>
      <c r="G60" s="247">
        <v>2.5</v>
      </c>
      <c r="H60" s="247"/>
      <c r="I60" s="247">
        <v>1</v>
      </c>
      <c r="J60" s="247">
        <f t="shared" si="0"/>
        <v>5.75</v>
      </c>
      <c r="K60" s="296"/>
      <c r="L60" s="236"/>
    </row>
    <row r="61" spans="1:12" x14ac:dyDescent="0.2">
      <c r="A61" s="239"/>
      <c r="B61" s="238" t="s">
        <v>289</v>
      </c>
      <c r="C61" s="348"/>
      <c r="D61" s="247"/>
      <c r="E61" s="247">
        <v>1.1000000000000001</v>
      </c>
      <c r="F61" s="247"/>
      <c r="G61" s="247">
        <v>2.2000000000000002</v>
      </c>
      <c r="H61" s="247"/>
      <c r="I61" s="247">
        <v>2</v>
      </c>
      <c r="J61" s="247">
        <f t="shared" si="0"/>
        <v>4.8400000000000007</v>
      </c>
      <c r="K61" s="296"/>
      <c r="L61" s="236"/>
    </row>
    <row r="62" spans="1:12" x14ac:dyDescent="0.2">
      <c r="A62" s="239"/>
      <c r="B62" s="238" t="s">
        <v>288</v>
      </c>
      <c r="C62" s="348"/>
      <c r="D62" s="247"/>
      <c r="E62" s="247">
        <v>2</v>
      </c>
      <c r="F62" s="247"/>
      <c r="G62" s="247">
        <v>2.2000000000000002</v>
      </c>
      <c r="H62" s="247"/>
      <c r="I62" s="247">
        <v>1</v>
      </c>
      <c r="J62" s="247">
        <f t="shared" si="0"/>
        <v>4.4000000000000004</v>
      </c>
      <c r="K62" s="296"/>
      <c r="L62" s="236"/>
    </row>
    <row r="63" spans="1:12" x14ac:dyDescent="0.2">
      <c r="A63" s="239"/>
      <c r="B63" s="238" t="s">
        <v>287</v>
      </c>
      <c r="C63" s="348"/>
      <c r="D63" s="247"/>
      <c r="E63" s="247">
        <v>2</v>
      </c>
      <c r="F63" s="247"/>
      <c r="G63" s="247">
        <v>2.35</v>
      </c>
      <c r="H63" s="247"/>
      <c r="I63" s="247">
        <v>1</v>
      </c>
      <c r="J63" s="247">
        <f t="shared" si="0"/>
        <v>4.7</v>
      </c>
      <c r="K63" s="296"/>
      <c r="L63" s="236"/>
    </row>
    <row r="64" spans="1:12" x14ac:dyDescent="0.2">
      <c r="A64" s="239"/>
      <c r="B64" s="238" t="s">
        <v>281</v>
      </c>
      <c r="C64" s="348"/>
      <c r="D64" s="247"/>
      <c r="E64" s="247">
        <v>0.7</v>
      </c>
      <c r="F64" s="247">
        <v>2.1</v>
      </c>
      <c r="G64" s="247" t="s">
        <v>94</v>
      </c>
      <c r="H64" s="247"/>
      <c r="I64" s="247">
        <v>2</v>
      </c>
      <c r="J64" s="244">
        <f>E64*F64*I64</f>
        <v>2.94</v>
      </c>
      <c r="K64" s="296"/>
      <c r="L64" s="236"/>
    </row>
    <row r="65" spans="1:16" x14ac:dyDescent="0.2">
      <c r="A65" s="239"/>
      <c r="B65" s="238" t="s">
        <v>280</v>
      </c>
      <c r="C65" s="348"/>
      <c r="D65" s="247"/>
      <c r="E65" s="247">
        <v>0.4</v>
      </c>
      <c r="F65" s="247">
        <v>0.7</v>
      </c>
      <c r="G65" s="247" t="s">
        <v>94</v>
      </c>
      <c r="H65" s="247"/>
      <c r="I65" s="247">
        <v>2</v>
      </c>
      <c r="J65" s="244">
        <f>E65*F65*I65</f>
        <v>0.55999999999999994</v>
      </c>
      <c r="K65" s="296"/>
      <c r="L65" s="236"/>
    </row>
    <row r="66" spans="1:16" x14ac:dyDescent="0.2">
      <c r="A66" s="239"/>
      <c r="B66" s="238" t="s">
        <v>94</v>
      </c>
      <c r="C66" s="348"/>
      <c r="D66" s="247"/>
      <c r="E66" s="247" t="s">
        <v>94</v>
      </c>
      <c r="F66" s="247" t="s">
        <v>94</v>
      </c>
      <c r="G66" s="247" t="s">
        <v>94</v>
      </c>
      <c r="H66" s="247" t="s">
        <v>94</v>
      </c>
      <c r="I66" s="237" t="s">
        <v>94</v>
      </c>
      <c r="J66" s="247" t="s">
        <v>94</v>
      </c>
      <c r="K66" s="296"/>
      <c r="L66" s="236"/>
    </row>
    <row r="67" spans="1:16" x14ac:dyDescent="0.2">
      <c r="A67" s="270"/>
      <c r="B67" s="276" t="s">
        <v>21</v>
      </c>
      <c r="C67" s="349"/>
      <c r="D67" s="295"/>
      <c r="E67" s="298"/>
      <c r="F67" s="341"/>
      <c r="G67" s="342"/>
      <c r="H67" s="342"/>
      <c r="I67" s="342"/>
      <c r="J67" s="343">
        <f>SUM(J58:J63)-J64-J65</f>
        <v>27.804999999999996</v>
      </c>
      <c r="K67" s="344" t="str">
        <f>C57</f>
        <v>M2</v>
      </c>
      <c r="L67" s="357"/>
    </row>
    <row r="68" spans="1:16" ht="38.450000000000003" customHeight="1" x14ac:dyDescent="0.2">
      <c r="A68" s="243" t="s">
        <v>45</v>
      </c>
      <c r="B68" s="242" t="s">
        <v>308</v>
      </c>
      <c r="C68" s="302" t="s">
        <v>286</v>
      </c>
      <c r="D68" s="247">
        <f>J78</f>
        <v>27.804999999999996</v>
      </c>
      <c r="E68" s="247"/>
      <c r="F68" s="247"/>
      <c r="G68" s="247"/>
      <c r="H68" s="247"/>
      <c r="I68" s="237"/>
      <c r="J68" s="236"/>
      <c r="K68" s="296"/>
      <c r="L68" s="236"/>
    </row>
    <row r="69" spans="1:16" ht="12.75" customHeight="1" x14ac:dyDescent="0.2">
      <c r="A69" s="239"/>
      <c r="B69" s="238" t="s">
        <v>285</v>
      </c>
      <c r="C69" s="348"/>
      <c r="D69" s="247"/>
      <c r="E69" s="247">
        <v>1.4</v>
      </c>
      <c r="F69" s="247"/>
      <c r="G69" s="346">
        <v>2.2999999999999998</v>
      </c>
      <c r="H69" s="247" t="s">
        <v>284</v>
      </c>
      <c r="I69" s="247">
        <v>2</v>
      </c>
      <c r="J69" s="247">
        <f t="shared" ref="J69:J74" si="1">I69*G69*E69</f>
        <v>6.4399999999999995</v>
      </c>
      <c r="K69" s="296"/>
      <c r="L69" s="236"/>
    </row>
    <row r="70" spans="1:16" x14ac:dyDescent="0.2">
      <c r="A70" s="239"/>
      <c r="B70" s="238" t="s">
        <v>283</v>
      </c>
      <c r="C70" s="348"/>
      <c r="D70" s="247"/>
      <c r="E70" s="247">
        <v>2.2999999999999998</v>
      </c>
      <c r="F70" s="247"/>
      <c r="G70" s="247">
        <v>2.25</v>
      </c>
      <c r="H70" s="247"/>
      <c r="I70" s="247">
        <v>1</v>
      </c>
      <c r="J70" s="247">
        <f t="shared" si="1"/>
        <v>5.1749999999999998</v>
      </c>
      <c r="K70" s="296"/>
      <c r="L70" s="236"/>
    </row>
    <row r="71" spans="1:16" x14ac:dyDescent="0.2">
      <c r="A71" s="239"/>
      <c r="B71" s="238" t="s">
        <v>282</v>
      </c>
      <c r="C71" s="348"/>
      <c r="D71" s="247"/>
      <c r="E71" s="247">
        <v>2.2999999999999998</v>
      </c>
      <c r="F71" s="247"/>
      <c r="G71" s="247">
        <v>2.5</v>
      </c>
      <c r="H71" s="247"/>
      <c r="I71" s="247">
        <v>1</v>
      </c>
      <c r="J71" s="247">
        <f t="shared" si="1"/>
        <v>5.75</v>
      </c>
      <c r="K71" s="296"/>
      <c r="L71" s="236"/>
      <c r="P71">
        <f>(2.5+2.25)/2</f>
        <v>2.375</v>
      </c>
    </row>
    <row r="72" spans="1:16" x14ac:dyDescent="0.2">
      <c r="A72" s="239"/>
      <c r="B72" s="238" t="s">
        <v>289</v>
      </c>
      <c r="C72" s="348"/>
      <c r="D72" s="247"/>
      <c r="E72" s="247">
        <v>1.1000000000000001</v>
      </c>
      <c r="F72" s="247"/>
      <c r="G72" s="247">
        <v>2.2000000000000002</v>
      </c>
      <c r="H72" s="247"/>
      <c r="I72" s="247">
        <v>2</v>
      </c>
      <c r="J72" s="247">
        <f t="shared" si="1"/>
        <v>4.8400000000000007</v>
      </c>
      <c r="K72" s="296"/>
      <c r="L72" s="236"/>
    </row>
    <row r="73" spans="1:16" x14ac:dyDescent="0.2">
      <c r="A73" s="239"/>
      <c r="B73" s="238" t="s">
        <v>288</v>
      </c>
      <c r="C73" s="348"/>
      <c r="D73" s="247"/>
      <c r="E73" s="247">
        <v>2</v>
      </c>
      <c r="F73" s="247"/>
      <c r="G73" s="247">
        <v>2.2000000000000002</v>
      </c>
      <c r="H73" s="247"/>
      <c r="I73" s="247">
        <v>1</v>
      </c>
      <c r="J73" s="247">
        <f t="shared" si="1"/>
        <v>4.4000000000000004</v>
      </c>
      <c r="K73" s="296"/>
      <c r="L73" s="236"/>
    </row>
    <row r="74" spans="1:16" x14ac:dyDescent="0.2">
      <c r="A74" s="239"/>
      <c r="B74" s="238" t="s">
        <v>287</v>
      </c>
      <c r="C74" s="348"/>
      <c r="D74" s="247"/>
      <c r="E74" s="247">
        <v>2</v>
      </c>
      <c r="F74" s="247"/>
      <c r="G74" s="247">
        <v>2.35</v>
      </c>
      <c r="H74" s="247"/>
      <c r="I74" s="247">
        <v>1</v>
      </c>
      <c r="J74" s="247">
        <f t="shared" si="1"/>
        <v>4.7</v>
      </c>
      <c r="K74" s="296"/>
      <c r="L74" s="236"/>
    </row>
    <row r="75" spans="1:16" x14ac:dyDescent="0.2">
      <c r="A75" s="239"/>
      <c r="B75" s="238" t="s">
        <v>281</v>
      </c>
      <c r="C75" s="348"/>
      <c r="D75" s="247"/>
      <c r="E75" s="247">
        <v>0.7</v>
      </c>
      <c r="F75" s="247">
        <v>2.1</v>
      </c>
      <c r="G75" s="247" t="s">
        <v>94</v>
      </c>
      <c r="H75" s="247"/>
      <c r="I75" s="247">
        <v>2</v>
      </c>
      <c r="J75" s="244">
        <f>E75*F75*I75</f>
        <v>2.94</v>
      </c>
      <c r="K75" s="296"/>
      <c r="L75" s="236"/>
    </row>
    <row r="76" spans="1:16" x14ac:dyDescent="0.2">
      <c r="A76" s="239"/>
      <c r="B76" s="238" t="s">
        <v>280</v>
      </c>
      <c r="C76" s="348"/>
      <c r="D76" s="247"/>
      <c r="E76" s="247">
        <v>0.4</v>
      </c>
      <c r="F76" s="247">
        <v>0.7</v>
      </c>
      <c r="G76" s="247" t="s">
        <v>94</v>
      </c>
      <c r="H76" s="247"/>
      <c r="I76" s="247">
        <v>2</v>
      </c>
      <c r="J76" s="244">
        <f>E76*F76*I76</f>
        <v>0.55999999999999994</v>
      </c>
      <c r="K76" s="296"/>
      <c r="L76" s="236"/>
    </row>
    <row r="77" spans="1:16" x14ac:dyDescent="0.2">
      <c r="A77" s="239"/>
      <c r="B77" s="238"/>
      <c r="C77" s="348"/>
      <c r="D77" s="247"/>
      <c r="E77" s="247"/>
      <c r="F77" s="247"/>
      <c r="G77" s="247"/>
      <c r="H77" s="247"/>
      <c r="I77" s="237"/>
      <c r="J77" s="247"/>
      <c r="K77" s="296"/>
      <c r="L77" s="236"/>
    </row>
    <row r="78" spans="1:16" x14ac:dyDescent="0.2">
      <c r="A78" s="270"/>
      <c r="B78" s="276" t="s">
        <v>21</v>
      </c>
      <c r="C78" s="349"/>
      <c r="D78" s="295"/>
      <c r="E78" s="298"/>
      <c r="F78" s="341"/>
      <c r="G78" s="342"/>
      <c r="H78" s="342"/>
      <c r="I78" s="342"/>
      <c r="J78" s="343">
        <f>SUM(J69:J74)-J75-J76</f>
        <v>27.804999999999996</v>
      </c>
      <c r="K78" s="344" t="str">
        <f>C68</f>
        <v>M2</v>
      </c>
      <c r="L78" s="357"/>
    </row>
    <row r="79" spans="1:16" ht="51.95" customHeight="1" x14ac:dyDescent="0.2">
      <c r="A79" s="243" t="s">
        <v>272</v>
      </c>
      <c r="B79" s="242" t="s">
        <v>273</v>
      </c>
      <c r="C79" s="302" t="s">
        <v>286</v>
      </c>
      <c r="D79" s="247">
        <f>J83</f>
        <v>4.9000000000000004</v>
      </c>
      <c r="E79" s="247"/>
      <c r="F79" s="247"/>
      <c r="G79" s="247"/>
      <c r="H79" s="247"/>
      <c r="I79" s="237"/>
      <c r="J79" s="236"/>
      <c r="K79" s="296"/>
      <c r="L79" s="236"/>
    </row>
    <row r="80" spans="1:16" x14ac:dyDescent="0.2">
      <c r="A80" s="239"/>
      <c r="B80" s="238" t="s">
        <v>291</v>
      </c>
      <c r="C80" s="348"/>
      <c r="D80" s="247"/>
      <c r="E80" s="247">
        <v>1.1000000000000001</v>
      </c>
      <c r="F80" s="247"/>
      <c r="G80" s="247">
        <v>1.75</v>
      </c>
      <c r="H80" s="247">
        <v>1</v>
      </c>
      <c r="I80" s="247"/>
      <c r="J80" s="247">
        <f>E80*G80*H80</f>
        <v>1.9250000000000003</v>
      </c>
      <c r="K80" s="296"/>
      <c r="L80" s="236"/>
    </row>
    <row r="81" spans="1:12" x14ac:dyDescent="0.2">
      <c r="A81" s="239"/>
      <c r="B81" s="238" t="s">
        <v>290</v>
      </c>
      <c r="C81" s="348"/>
      <c r="D81" s="247"/>
      <c r="E81" s="247">
        <v>0.85</v>
      </c>
      <c r="F81" s="247"/>
      <c r="G81" s="247">
        <v>1.75</v>
      </c>
      <c r="H81" s="247">
        <v>2</v>
      </c>
      <c r="I81" s="247"/>
      <c r="J81" s="247">
        <f>E81*G81*H81</f>
        <v>2.9750000000000001</v>
      </c>
      <c r="K81" s="296"/>
      <c r="L81" s="236"/>
    </row>
    <row r="82" spans="1:12" x14ac:dyDescent="0.2">
      <c r="A82" s="239"/>
      <c r="B82" s="238"/>
      <c r="C82" s="348"/>
      <c r="D82" s="247"/>
      <c r="E82" s="247"/>
      <c r="F82" s="247"/>
      <c r="G82" s="247"/>
      <c r="H82" s="247"/>
      <c r="I82" s="237"/>
      <c r="J82" s="247"/>
      <c r="K82" s="296"/>
      <c r="L82" s="236"/>
    </row>
    <row r="83" spans="1:12" x14ac:dyDescent="0.2">
      <c r="A83" s="270"/>
      <c r="B83" s="276" t="s">
        <v>21</v>
      </c>
      <c r="C83" s="349"/>
      <c r="D83" s="295"/>
      <c r="E83" s="298"/>
      <c r="F83" s="341"/>
      <c r="G83" s="342"/>
      <c r="H83" s="342"/>
      <c r="I83" s="342"/>
      <c r="J83" s="343">
        <f>SUM(J80:J82)</f>
        <v>4.9000000000000004</v>
      </c>
      <c r="K83" s="344" t="str">
        <f>C79</f>
        <v>M2</v>
      </c>
      <c r="L83" s="357"/>
    </row>
    <row r="84" spans="1:12" x14ac:dyDescent="0.2">
      <c r="A84" s="270"/>
      <c r="B84" s="295"/>
      <c r="C84" s="349"/>
      <c r="D84" s="295"/>
      <c r="E84" s="298"/>
      <c r="F84" s="341"/>
      <c r="G84" s="342"/>
      <c r="H84" s="342"/>
      <c r="I84" s="342"/>
      <c r="J84" s="343"/>
      <c r="K84" s="344"/>
      <c r="L84" s="357"/>
    </row>
    <row r="85" spans="1:12" ht="30" customHeight="1" x14ac:dyDescent="0.2">
      <c r="A85" s="243" t="s">
        <v>14</v>
      </c>
      <c r="B85" s="242" t="s">
        <v>38</v>
      </c>
      <c r="C85" s="302" t="s">
        <v>286</v>
      </c>
      <c r="D85" s="247">
        <f>J87</f>
        <v>7.6859999999999999</v>
      </c>
      <c r="E85" s="247"/>
      <c r="F85" s="247"/>
      <c r="G85" s="247"/>
      <c r="H85" s="247"/>
      <c r="I85" s="237"/>
      <c r="J85" s="236"/>
      <c r="K85" s="296"/>
      <c r="L85" s="236"/>
    </row>
    <row r="86" spans="1:12" ht="16.5" customHeight="1" x14ac:dyDescent="0.2">
      <c r="A86" s="243"/>
      <c r="B86" s="242" t="s">
        <v>379</v>
      </c>
      <c r="C86" s="391" t="s">
        <v>286</v>
      </c>
      <c r="D86" s="247">
        <v>1</v>
      </c>
      <c r="E86" s="247">
        <v>3.1</v>
      </c>
      <c r="F86" s="247">
        <v>2.44</v>
      </c>
      <c r="G86" s="247"/>
      <c r="H86" s="247"/>
      <c r="I86" s="237"/>
      <c r="J86" s="236">
        <f>E86*F86</f>
        <v>7.5640000000000001</v>
      </c>
      <c r="K86" s="296"/>
      <c r="L86" s="236"/>
    </row>
    <row r="87" spans="1:12" x14ac:dyDescent="0.2">
      <c r="A87" s="239"/>
      <c r="B87" s="390" t="s">
        <v>384</v>
      </c>
      <c r="C87" s="391" t="s">
        <v>286</v>
      </c>
      <c r="D87" s="247">
        <v>1</v>
      </c>
      <c r="E87" s="247">
        <v>2.44</v>
      </c>
      <c r="F87" s="247">
        <v>1.05</v>
      </c>
      <c r="G87" s="247"/>
      <c r="H87" s="247"/>
      <c r="I87" s="247">
        <v>3</v>
      </c>
      <c r="J87" s="247">
        <f>E87*F87*I87</f>
        <v>7.6859999999999999</v>
      </c>
      <c r="K87" s="296"/>
      <c r="L87" s="236"/>
    </row>
    <row r="88" spans="1:12" ht="25.5" x14ac:dyDescent="0.2">
      <c r="A88" s="239"/>
      <c r="B88" s="390" t="s">
        <v>383</v>
      </c>
      <c r="C88" s="389" t="s">
        <v>343</v>
      </c>
      <c r="D88" s="247">
        <v>1</v>
      </c>
      <c r="E88" s="247">
        <v>2.44</v>
      </c>
      <c r="F88" s="247">
        <v>1.1000000000000001</v>
      </c>
      <c r="G88" s="247"/>
      <c r="H88" s="247"/>
      <c r="I88" s="247"/>
      <c r="J88" s="247"/>
      <c r="K88" s="296"/>
      <c r="L88" s="236"/>
    </row>
    <row r="89" spans="1:12" x14ac:dyDescent="0.2">
      <c r="A89" s="239"/>
      <c r="B89" s="390"/>
      <c r="C89" s="391"/>
      <c r="D89" s="247"/>
      <c r="E89" s="247"/>
      <c r="F89" s="247"/>
      <c r="G89" s="247"/>
      <c r="H89" s="247"/>
      <c r="I89" s="247"/>
      <c r="J89" s="247"/>
      <c r="K89" s="296"/>
      <c r="L89" s="236"/>
    </row>
    <row r="90" spans="1:12" x14ac:dyDescent="0.2">
      <c r="A90" s="270"/>
      <c r="B90" s="276" t="s">
        <v>21</v>
      </c>
      <c r="C90" s="349"/>
      <c r="D90" s="295"/>
      <c r="E90" s="298"/>
      <c r="F90" s="341"/>
      <c r="G90" s="342"/>
      <c r="H90" s="342"/>
      <c r="I90" s="342"/>
      <c r="J90" s="343">
        <f>J87</f>
        <v>7.6859999999999999</v>
      </c>
      <c r="K90" s="344" t="str">
        <f>C85</f>
        <v>M2</v>
      </c>
      <c r="L90" s="357"/>
    </row>
    <row r="91" spans="1:12" ht="30" customHeight="1" x14ac:dyDescent="0.2">
      <c r="A91" s="243" t="s">
        <v>15</v>
      </c>
      <c r="B91" s="242" t="s">
        <v>309</v>
      </c>
      <c r="C91" s="302" t="s">
        <v>286</v>
      </c>
      <c r="D91" s="247">
        <f>J94</f>
        <v>2.2000000000000002</v>
      </c>
      <c r="E91" s="247"/>
      <c r="F91" s="247"/>
      <c r="G91" s="247"/>
      <c r="H91" s="247"/>
      <c r="I91" s="237"/>
      <c r="J91" s="236"/>
      <c r="K91" s="296"/>
      <c r="L91" s="236"/>
    </row>
    <row r="92" spans="1:12" x14ac:dyDescent="0.2">
      <c r="A92" s="239"/>
      <c r="B92" s="238"/>
      <c r="C92" s="348"/>
      <c r="D92" s="247"/>
      <c r="E92" s="345">
        <v>2</v>
      </c>
      <c r="F92" s="345">
        <v>1.1000000000000001</v>
      </c>
      <c r="G92" s="345"/>
      <c r="H92" s="345"/>
      <c r="I92" s="345"/>
      <c r="J92" s="247">
        <f>E92*F92</f>
        <v>2.2000000000000002</v>
      </c>
      <c r="K92" s="296"/>
      <c r="L92" s="236"/>
    </row>
    <row r="93" spans="1:12" x14ac:dyDescent="0.2">
      <c r="A93" s="239"/>
      <c r="B93" s="238" t="s">
        <v>94</v>
      </c>
      <c r="C93" s="348"/>
      <c r="D93" s="247"/>
      <c r="E93" s="247" t="s">
        <v>94</v>
      </c>
      <c r="F93" s="247" t="s">
        <v>94</v>
      </c>
      <c r="G93" s="247" t="s">
        <v>94</v>
      </c>
      <c r="H93" s="247" t="s">
        <v>94</v>
      </c>
      <c r="I93" s="237" t="s">
        <v>94</v>
      </c>
      <c r="J93" s="247" t="s">
        <v>94</v>
      </c>
      <c r="K93" s="296"/>
      <c r="L93" s="236"/>
    </row>
    <row r="94" spans="1:12" x14ac:dyDescent="0.2">
      <c r="A94" s="270"/>
      <c r="B94" s="276" t="s">
        <v>21</v>
      </c>
      <c r="C94" s="349"/>
      <c r="D94" s="295"/>
      <c r="E94" s="298"/>
      <c r="F94" s="341"/>
      <c r="G94" s="342"/>
      <c r="H94" s="342"/>
      <c r="I94" s="342"/>
      <c r="J94" s="343">
        <f>SUM(J92:J93)</f>
        <v>2.2000000000000002</v>
      </c>
      <c r="K94" s="344" t="str">
        <f>C91</f>
        <v>M2</v>
      </c>
      <c r="L94" s="357"/>
    </row>
    <row r="95" spans="1:12" ht="17.100000000000001" customHeight="1" x14ac:dyDescent="0.2">
      <c r="A95" s="243" t="s">
        <v>318</v>
      </c>
      <c r="B95" s="242" t="s">
        <v>317</v>
      </c>
      <c r="C95" s="302" t="s">
        <v>286</v>
      </c>
      <c r="D95" s="247">
        <f>J99</f>
        <v>6.2</v>
      </c>
      <c r="E95" s="247"/>
      <c r="F95" s="247"/>
      <c r="G95" s="247"/>
      <c r="H95" s="247"/>
      <c r="I95" s="237"/>
      <c r="J95" s="236"/>
      <c r="K95" s="296"/>
      <c r="L95" s="236"/>
    </row>
    <row r="96" spans="1:12" x14ac:dyDescent="0.2">
      <c r="A96" s="239"/>
      <c r="B96" s="238"/>
      <c r="C96" s="348"/>
      <c r="D96" s="247"/>
      <c r="E96" s="247">
        <v>2</v>
      </c>
      <c r="F96" s="247"/>
      <c r="G96" s="345"/>
      <c r="H96" s="247"/>
      <c r="I96" s="247">
        <v>2</v>
      </c>
      <c r="J96" s="247">
        <f>I96*E96</f>
        <v>4</v>
      </c>
      <c r="K96" s="296"/>
      <c r="L96" s="236"/>
    </row>
    <row r="97" spans="1:18" x14ac:dyDescent="0.2">
      <c r="A97" s="239"/>
      <c r="B97" s="238" t="s">
        <v>94</v>
      </c>
      <c r="C97" s="348"/>
      <c r="D97" s="247"/>
      <c r="E97" s="247">
        <v>1.1000000000000001</v>
      </c>
      <c r="F97" s="247" t="s">
        <v>94</v>
      </c>
      <c r="G97" s="247" t="s">
        <v>94</v>
      </c>
      <c r="H97" s="247"/>
      <c r="I97" s="247">
        <v>2</v>
      </c>
      <c r="J97" s="247">
        <f>I97*E97</f>
        <v>2.2000000000000002</v>
      </c>
      <c r="K97" s="296"/>
      <c r="L97" s="236"/>
    </row>
    <row r="98" spans="1:18" x14ac:dyDescent="0.2">
      <c r="A98" s="239"/>
      <c r="B98" s="238" t="s">
        <v>94</v>
      </c>
      <c r="C98" s="348"/>
      <c r="D98" s="247"/>
      <c r="E98" s="247" t="s">
        <v>94</v>
      </c>
      <c r="F98" s="247" t="s">
        <v>94</v>
      </c>
      <c r="G98" s="247" t="s">
        <v>94</v>
      </c>
      <c r="H98" s="247" t="s">
        <v>94</v>
      </c>
      <c r="I98" s="237" t="s">
        <v>94</v>
      </c>
      <c r="J98" s="247" t="s">
        <v>94</v>
      </c>
      <c r="K98" s="296"/>
      <c r="L98" s="236"/>
    </row>
    <row r="99" spans="1:18" x14ac:dyDescent="0.2">
      <c r="A99" s="270"/>
      <c r="B99" s="276" t="s">
        <v>21</v>
      </c>
      <c r="C99" s="349"/>
      <c r="D99" s="295"/>
      <c r="E99" s="298"/>
      <c r="F99" s="341"/>
      <c r="G99" s="342"/>
      <c r="H99" s="342"/>
      <c r="I99" s="342"/>
      <c r="J99" s="343">
        <f>SUM(J96:J98)</f>
        <v>6.2</v>
      </c>
      <c r="K99" s="344" t="str">
        <f>C95</f>
        <v>M2</v>
      </c>
      <c r="L99" s="357"/>
    </row>
    <row r="100" spans="1:18" ht="30" customHeight="1" x14ac:dyDescent="0.2">
      <c r="A100" s="392" t="s">
        <v>16</v>
      </c>
      <c r="B100" s="393" t="s">
        <v>60</v>
      </c>
      <c r="C100" s="302" t="s">
        <v>344</v>
      </c>
      <c r="D100" s="247">
        <f>J103</f>
        <v>0.27999999999999997</v>
      </c>
      <c r="E100" s="247"/>
      <c r="F100" s="247"/>
      <c r="G100" s="247"/>
      <c r="H100" s="247"/>
      <c r="I100" s="237"/>
      <c r="J100" s="236"/>
      <c r="K100" s="296"/>
      <c r="L100" s="236"/>
    </row>
    <row r="101" spans="1:18" x14ac:dyDescent="0.2">
      <c r="A101" s="252"/>
      <c r="B101" s="394"/>
      <c r="C101" s="348"/>
      <c r="D101" s="247"/>
      <c r="E101" s="247">
        <v>0.7</v>
      </c>
      <c r="F101" s="247">
        <v>0.4</v>
      </c>
      <c r="G101" s="345"/>
      <c r="H101" s="247"/>
      <c r="I101" s="247"/>
      <c r="J101" s="247">
        <f>E101*F101</f>
        <v>0.27999999999999997</v>
      </c>
      <c r="K101" s="296"/>
      <c r="L101" s="236"/>
    </row>
    <row r="102" spans="1:18" x14ac:dyDescent="0.2">
      <c r="A102" s="252"/>
      <c r="B102" s="394" t="s">
        <v>94</v>
      </c>
      <c r="C102" s="348"/>
      <c r="D102" s="247"/>
      <c r="E102" s="247" t="s">
        <v>94</v>
      </c>
      <c r="F102" s="247" t="s">
        <v>94</v>
      </c>
      <c r="G102" s="247" t="s">
        <v>94</v>
      </c>
      <c r="H102" s="247" t="s">
        <v>94</v>
      </c>
      <c r="I102" s="237" t="s">
        <v>94</v>
      </c>
      <c r="J102" s="247" t="s">
        <v>94</v>
      </c>
      <c r="K102" s="296"/>
      <c r="L102" s="236"/>
    </row>
    <row r="103" spans="1:18" x14ac:dyDescent="0.2">
      <c r="A103" s="395"/>
      <c r="B103" s="276" t="s">
        <v>21</v>
      </c>
      <c r="C103" s="349"/>
      <c r="D103" s="295"/>
      <c r="E103" s="298"/>
      <c r="F103" s="341"/>
      <c r="G103" s="342"/>
      <c r="H103" s="342"/>
      <c r="I103" s="342"/>
      <c r="J103" s="343">
        <f>SUM(J101:J102)</f>
        <v>0.27999999999999997</v>
      </c>
      <c r="K103" s="344" t="str">
        <f>C100</f>
        <v>UD.</v>
      </c>
      <c r="L103" s="357"/>
    </row>
    <row r="104" spans="1:18" ht="17.100000000000001" customHeight="1" x14ac:dyDescent="0.2">
      <c r="A104" s="243" t="s">
        <v>17</v>
      </c>
      <c r="B104" s="242" t="s">
        <v>387</v>
      </c>
      <c r="C104" s="302" t="s">
        <v>286</v>
      </c>
      <c r="D104" s="247">
        <f>J107</f>
        <v>0.27999999999999997</v>
      </c>
      <c r="E104" s="247"/>
      <c r="F104" s="247"/>
      <c r="G104" s="247"/>
      <c r="H104" s="247"/>
      <c r="I104" s="237"/>
      <c r="J104" s="236"/>
      <c r="K104" s="296"/>
      <c r="L104" s="236"/>
    </row>
    <row r="105" spans="1:18" x14ac:dyDescent="0.2">
      <c r="A105" s="239"/>
      <c r="B105" s="238"/>
      <c r="C105" s="348"/>
      <c r="D105" s="247"/>
      <c r="E105" s="247">
        <v>0.7</v>
      </c>
      <c r="F105" s="247">
        <v>0.4</v>
      </c>
      <c r="G105" s="345"/>
      <c r="H105" s="247"/>
      <c r="I105" s="247"/>
      <c r="J105" s="247">
        <f>E105*F105</f>
        <v>0.27999999999999997</v>
      </c>
      <c r="K105" s="296"/>
      <c r="L105" s="236"/>
    </row>
    <row r="106" spans="1:18" x14ac:dyDescent="0.2">
      <c r="A106" s="239"/>
      <c r="B106" s="238" t="s">
        <v>94</v>
      </c>
      <c r="C106" s="348"/>
      <c r="D106" s="247"/>
      <c r="E106" s="247" t="s">
        <v>94</v>
      </c>
      <c r="F106" s="247" t="s">
        <v>94</v>
      </c>
      <c r="G106" s="247" t="s">
        <v>94</v>
      </c>
      <c r="H106" s="247" t="s">
        <v>94</v>
      </c>
      <c r="I106" s="237" t="s">
        <v>94</v>
      </c>
      <c r="J106" s="247" t="s">
        <v>94</v>
      </c>
      <c r="K106" s="296"/>
      <c r="L106" s="236"/>
    </row>
    <row r="107" spans="1:18" x14ac:dyDescent="0.2">
      <c r="A107" s="270"/>
      <c r="B107" s="276" t="s">
        <v>21</v>
      </c>
      <c r="C107" s="349"/>
      <c r="D107" s="295"/>
      <c r="E107" s="298"/>
      <c r="F107" s="341"/>
      <c r="G107" s="342"/>
      <c r="H107" s="342"/>
      <c r="I107" s="342"/>
      <c r="J107" s="343">
        <f>SUM(J105:J106)</f>
        <v>0.27999999999999997</v>
      </c>
      <c r="K107" s="344" t="str">
        <f>C104</f>
        <v>M2</v>
      </c>
      <c r="L107" s="357"/>
    </row>
    <row r="108" spans="1:18" ht="38.25" x14ac:dyDescent="0.2">
      <c r="A108" s="392" t="s">
        <v>42</v>
      </c>
      <c r="B108" s="393" t="s">
        <v>380</v>
      </c>
      <c r="C108" s="302" t="s">
        <v>343</v>
      </c>
      <c r="D108" s="247">
        <f>J111</f>
        <v>1.47</v>
      </c>
      <c r="E108" s="247"/>
      <c r="F108" s="247"/>
      <c r="G108" s="247"/>
      <c r="H108" s="247"/>
      <c r="I108" s="237"/>
      <c r="J108" s="236"/>
      <c r="K108" s="296"/>
      <c r="L108" s="236"/>
      <c r="M108" s="860" t="s">
        <v>388</v>
      </c>
      <c r="N108" s="861"/>
      <c r="O108" s="861"/>
      <c r="P108" s="861"/>
      <c r="Q108" s="861"/>
      <c r="R108" s="861"/>
    </row>
    <row r="109" spans="1:18" x14ac:dyDescent="0.2">
      <c r="A109" s="246"/>
      <c r="B109" s="396"/>
      <c r="C109" s="348"/>
      <c r="D109" s="247"/>
      <c r="E109" s="247">
        <v>2.1</v>
      </c>
      <c r="F109" s="247">
        <v>0.7</v>
      </c>
      <c r="G109" s="345"/>
      <c r="H109" s="247"/>
      <c r="I109" s="247"/>
      <c r="J109" s="247">
        <f>E109*F109</f>
        <v>1.47</v>
      </c>
      <c r="K109" s="296"/>
      <c r="L109" s="236"/>
    </row>
    <row r="110" spans="1:18" x14ac:dyDescent="0.2">
      <c r="A110" s="246"/>
      <c r="B110" s="245" t="s">
        <v>94</v>
      </c>
      <c r="C110" s="348"/>
      <c r="D110" s="247"/>
      <c r="E110" s="247" t="s">
        <v>94</v>
      </c>
      <c r="F110" s="247" t="s">
        <v>94</v>
      </c>
      <c r="G110" s="247" t="s">
        <v>94</v>
      </c>
      <c r="H110" s="247" t="s">
        <v>94</v>
      </c>
      <c r="I110" s="237" t="s">
        <v>94</v>
      </c>
      <c r="J110" s="247" t="s">
        <v>94</v>
      </c>
      <c r="K110" s="296"/>
      <c r="L110" s="236"/>
    </row>
    <row r="111" spans="1:18" x14ac:dyDescent="0.2">
      <c r="A111" s="270"/>
      <c r="B111" s="363" t="s">
        <v>21</v>
      </c>
      <c r="C111" s="349"/>
      <c r="D111" s="295"/>
      <c r="E111" s="298"/>
      <c r="F111" s="341"/>
      <c r="G111" s="342"/>
      <c r="H111" s="342"/>
      <c r="I111" s="342"/>
      <c r="J111" s="343">
        <f>SUM(J109:J110)</f>
        <v>1.47</v>
      </c>
      <c r="K111" s="344" t="s">
        <v>35</v>
      </c>
      <c r="L111" s="357"/>
    </row>
    <row r="112" spans="1:18" x14ac:dyDescent="0.2">
      <c r="A112" s="270"/>
      <c r="B112" s="363"/>
      <c r="C112" s="364"/>
      <c r="D112" s="365"/>
      <c r="E112" s="297"/>
      <c r="F112" s="366"/>
      <c r="G112" s="367"/>
      <c r="H112" s="367"/>
      <c r="I112" s="367"/>
      <c r="J112" s="368"/>
      <c r="K112" s="369"/>
      <c r="L112" s="357"/>
    </row>
    <row r="113" spans="1:18" ht="30" customHeight="1" x14ac:dyDescent="0.2">
      <c r="A113" s="243" t="s">
        <v>18</v>
      </c>
      <c r="B113" s="242" t="s">
        <v>310</v>
      </c>
      <c r="C113" s="302" t="s">
        <v>313</v>
      </c>
      <c r="D113" s="247">
        <f>J119</f>
        <v>0.441</v>
      </c>
      <c r="E113" s="247"/>
      <c r="F113" s="247"/>
      <c r="G113" s="247"/>
      <c r="H113" s="247"/>
      <c r="I113" s="237"/>
      <c r="J113" s="236"/>
      <c r="K113" s="296"/>
      <c r="L113" s="236"/>
    </row>
    <row r="114" spans="1:18" x14ac:dyDescent="0.2">
      <c r="A114" s="239"/>
      <c r="B114" s="238" t="s">
        <v>389</v>
      </c>
      <c r="C114" s="348"/>
      <c r="D114" s="247"/>
      <c r="E114" s="247">
        <v>2</v>
      </c>
      <c r="F114" s="247">
        <v>1.1000000000000001</v>
      </c>
      <c r="G114" s="247">
        <v>0.05</v>
      </c>
      <c r="H114" s="247"/>
      <c r="I114" s="247"/>
      <c r="J114" s="247">
        <f>E114*F114*G114</f>
        <v>0.11000000000000001</v>
      </c>
      <c r="K114" s="296"/>
      <c r="L114" s="236"/>
      <c r="M114" s="858" t="s">
        <v>395</v>
      </c>
      <c r="N114" s="859"/>
      <c r="O114" s="859"/>
      <c r="P114" s="859"/>
      <c r="Q114" s="859"/>
      <c r="R114" s="859"/>
    </row>
    <row r="115" spans="1:18" x14ac:dyDescent="0.2">
      <c r="A115" s="239"/>
      <c r="B115" s="238" t="s">
        <v>390</v>
      </c>
      <c r="C115" s="348"/>
      <c r="D115" s="247"/>
      <c r="E115" s="399">
        <v>4.0999999999999996</v>
      </c>
      <c r="F115" s="399">
        <v>0.5</v>
      </c>
      <c r="G115" s="399">
        <v>0.05</v>
      </c>
      <c r="H115" s="399"/>
      <c r="I115" s="399">
        <v>2</v>
      </c>
      <c r="J115" s="399">
        <f>E115*F115*G115*I115</f>
        <v>0.20499999999999999</v>
      </c>
      <c r="K115" s="296"/>
      <c r="L115" s="236"/>
      <c r="M115" s="858"/>
      <c r="N115" s="859"/>
      <c r="O115" s="859"/>
      <c r="P115" s="859"/>
      <c r="Q115" s="859"/>
      <c r="R115" s="859"/>
    </row>
    <row r="116" spans="1:18" x14ac:dyDescent="0.2">
      <c r="A116" s="239"/>
      <c r="B116" s="390"/>
      <c r="C116" s="348"/>
      <c r="D116" s="247"/>
      <c r="E116" s="247">
        <v>1.3</v>
      </c>
      <c r="F116" s="247">
        <v>1.4</v>
      </c>
      <c r="G116" s="247">
        <v>0.05</v>
      </c>
      <c r="H116" s="247" t="s">
        <v>94</v>
      </c>
      <c r="I116" s="237" t="s">
        <v>94</v>
      </c>
      <c r="J116" s="247">
        <f>E116*F116*G116</f>
        <v>9.0999999999999998E-2</v>
      </c>
      <c r="K116" s="296"/>
      <c r="L116" s="236"/>
      <c r="M116" s="858"/>
      <c r="N116" s="859"/>
      <c r="O116" s="859"/>
      <c r="P116" s="859"/>
      <c r="Q116" s="859"/>
      <c r="R116" s="859"/>
    </row>
    <row r="117" spans="1:18" x14ac:dyDescent="0.2">
      <c r="A117" s="239"/>
      <c r="B117" s="390"/>
      <c r="C117" s="348"/>
      <c r="D117" s="247"/>
      <c r="E117" s="247">
        <v>1.4</v>
      </c>
      <c r="F117" s="247">
        <v>0.5</v>
      </c>
      <c r="G117" s="247">
        <v>0.05</v>
      </c>
      <c r="H117" s="247"/>
      <c r="I117" s="237"/>
      <c r="J117" s="247">
        <f>E117*F117*G117</f>
        <v>3.4999999999999996E-2</v>
      </c>
      <c r="K117" s="296"/>
      <c r="L117" s="236"/>
    </row>
    <row r="118" spans="1:18" x14ac:dyDescent="0.2">
      <c r="A118" s="239"/>
      <c r="B118" s="390"/>
      <c r="C118" s="348"/>
      <c r="D118" s="247"/>
      <c r="E118" s="247"/>
      <c r="F118" s="247"/>
      <c r="G118" s="247"/>
      <c r="H118" s="247"/>
      <c r="I118" s="237"/>
      <c r="J118" s="247"/>
      <c r="K118" s="296"/>
      <c r="L118" s="236"/>
    </row>
    <row r="119" spans="1:18" x14ac:dyDescent="0.2">
      <c r="A119" s="270"/>
      <c r="B119" s="276" t="s">
        <v>21</v>
      </c>
      <c r="C119" s="349"/>
      <c r="D119" s="295"/>
      <c r="E119" s="298"/>
      <c r="F119" s="341"/>
      <c r="G119" s="342"/>
      <c r="H119" s="342"/>
      <c r="I119" s="342"/>
      <c r="J119" s="343">
        <f>SUM(J114:J118)</f>
        <v>0.441</v>
      </c>
      <c r="K119" s="344" t="str">
        <f>C113</f>
        <v>M3</v>
      </c>
      <c r="L119" s="357"/>
      <c r="O119" s="385"/>
    </row>
    <row r="120" spans="1:18" x14ac:dyDescent="0.2">
      <c r="A120" s="243" t="s">
        <v>43</v>
      </c>
      <c r="B120" s="242" t="e">
        <f>#REF!</f>
        <v>#REF!</v>
      </c>
      <c r="C120" s="302" t="s">
        <v>286</v>
      </c>
      <c r="D120" s="247">
        <f>J123</f>
        <v>2.2000000000000002</v>
      </c>
      <c r="E120" s="247"/>
      <c r="F120" s="247"/>
      <c r="G120" s="247"/>
      <c r="H120" s="247"/>
      <c r="I120" s="237"/>
      <c r="J120" s="236"/>
      <c r="K120" s="296"/>
      <c r="L120" s="357"/>
      <c r="M120" s="858" t="s">
        <v>394</v>
      </c>
      <c r="N120" s="859"/>
      <c r="O120" s="859"/>
      <c r="P120" s="859"/>
      <c r="Q120" s="859"/>
    </row>
    <row r="121" spans="1:18" x14ac:dyDescent="0.2">
      <c r="A121" s="239"/>
      <c r="B121" s="238"/>
      <c r="C121" s="348"/>
      <c r="D121" s="247"/>
      <c r="E121" s="345">
        <v>2</v>
      </c>
      <c r="F121" s="345">
        <v>1.1000000000000001</v>
      </c>
      <c r="G121" s="345"/>
      <c r="H121" s="345"/>
      <c r="I121" s="345"/>
      <c r="J121" s="247">
        <f>E121*F121</f>
        <v>2.2000000000000002</v>
      </c>
      <c r="K121" s="296"/>
      <c r="L121" s="357"/>
      <c r="O121" s="385"/>
    </row>
    <row r="122" spans="1:18" x14ac:dyDescent="0.2">
      <c r="A122" s="239"/>
      <c r="B122" s="238" t="s">
        <v>94</v>
      </c>
      <c r="C122" s="348"/>
      <c r="D122" s="247"/>
      <c r="E122" s="247" t="s">
        <v>94</v>
      </c>
      <c r="F122" s="247" t="s">
        <v>94</v>
      </c>
      <c r="G122" s="247" t="s">
        <v>94</v>
      </c>
      <c r="H122" s="247" t="s">
        <v>94</v>
      </c>
      <c r="I122" s="237" t="s">
        <v>94</v>
      </c>
      <c r="J122" s="247" t="s">
        <v>94</v>
      </c>
      <c r="K122" s="296"/>
      <c r="L122" s="357"/>
      <c r="O122" s="385"/>
    </row>
    <row r="123" spans="1:18" x14ac:dyDescent="0.2">
      <c r="A123" s="270"/>
      <c r="B123" s="276" t="s">
        <v>21</v>
      </c>
      <c r="C123" s="349"/>
      <c r="D123" s="295"/>
      <c r="E123" s="298"/>
      <c r="F123" s="341"/>
      <c r="G123" s="342"/>
      <c r="H123" s="342"/>
      <c r="I123" s="342"/>
      <c r="J123" s="343">
        <f>SUM(J121:J122)</f>
        <v>2.2000000000000002</v>
      </c>
      <c r="K123" s="344" t="str">
        <f>C120</f>
        <v>M2</v>
      </c>
      <c r="L123" s="357"/>
    </row>
    <row r="124" spans="1:18" x14ac:dyDescent="0.2">
      <c r="A124" s="270"/>
      <c r="B124" s="276"/>
      <c r="C124" s="349"/>
      <c r="D124" s="295"/>
      <c r="E124" s="298"/>
      <c r="F124" s="341"/>
      <c r="G124" s="342"/>
      <c r="H124" s="342"/>
      <c r="I124" s="342"/>
      <c r="J124" s="343"/>
      <c r="K124" s="344"/>
      <c r="L124" s="357"/>
    </row>
    <row r="125" spans="1:18" ht="38.25" customHeight="1" x14ac:dyDescent="0.2">
      <c r="A125" s="243" t="s">
        <v>44</v>
      </c>
      <c r="B125" s="242" t="s">
        <v>61</v>
      </c>
      <c r="C125" s="302" t="s">
        <v>286</v>
      </c>
      <c r="D125" s="247">
        <f>J129</f>
        <v>2.2000000000000002</v>
      </c>
      <c r="E125" s="247"/>
      <c r="F125" s="247"/>
      <c r="G125" s="247"/>
      <c r="H125" s="247"/>
      <c r="I125" s="237"/>
      <c r="J125" s="236"/>
      <c r="K125" s="296"/>
      <c r="L125" s="236"/>
    </row>
    <row r="126" spans="1:18" x14ac:dyDescent="0.2">
      <c r="A126" s="239"/>
      <c r="B126" s="238"/>
      <c r="C126" s="348"/>
      <c r="D126" s="247"/>
      <c r="E126" s="345">
        <v>2</v>
      </c>
      <c r="F126" s="345">
        <v>1.1000000000000001</v>
      </c>
      <c r="G126" s="345"/>
      <c r="H126" s="345"/>
      <c r="I126" s="345"/>
      <c r="J126" s="247">
        <f>E126*F126</f>
        <v>2.2000000000000002</v>
      </c>
      <c r="K126" s="296"/>
      <c r="L126" s="236"/>
    </row>
    <row r="127" spans="1:18" x14ac:dyDescent="0.2">
      <c r="A127" s="239"/>
      <c r="B127" s="238"/>
      <c r="C127" s="348"/>
      <c r="D127" s="247"/>
      <c r="E127" s="345"/>
      <c r="F127" s="345"/>
      <c r="G127" s="345"/>
      <c r="H127" s="345"/>
      <c r="I127" s="345"/>
      <c r="J127" s="247"/>
      <c r="K127" s="296"/>
      <c r="L127" s="236"/>
    </row>
    <row r="128" spans="1:18" x14ac:dyDescent="0.2">
      <c r="A128" s="239"/>
      <c r="B128" s="238"/>
      <c r="C128" s="348"/>
      <c r="D128" s="247"/>
      <c r="E128" s="247"/>
      <c r="F128" s="247"/>
      <c r="G128" s="247"/>
      <c r="H128" s="247"/>
      <c r="I128" s="237"/>
      <c r="J128" s="247"/>
      <c r="K128" s="296"/>
      <c r="L128" s="236"/>
    </row>
    <row r="129" spans="1:25" x14ac:dyDescent="0.2">
      <c r="A129" s="270"/>
      <c r="B129" s="276" t="s">
        <v>21</v>
      </c>
      <c r="C129" s="349"/>
      <c r="D129" s="295"/>
      <c r="E129" s="298"/>
      <c r="F129" s="341"/>
      <c r="G129" s="342"/>
      <c r="H129" s="342"/>
      <c r="I129" s="342"/>
      <c r="J129" s="343">
        <f>SUM(J126:J128)</f>
        <v>2.2000000000000002</v>
      </c>
      <c r="K129" s="344" t="str">
        <f>C125</f>
        <v>M2</v>
      </c>
      <c r="L129" s="357"/>
      <c r="O129" s="402"/>
      <c r="P129" s="403"/>
      <c r="Q129" s="404"/>
      <c r="R129" s="405"/>
      <c r="S129" s="405"/>
      <c r="T129" s="405"/>
      <c r="U129" s="405"/>
      <c r="V129" s="405"/>
      <c r="W129" s="406"/>
      <c r="X129" s="407"/>
      <c r="Y129" s="408"/>
    </row>
    <row r="130" spans="1:25" x14ac:dyDescent="0.2">
      <c r="A130" s="248"/>
      <c r="B130" s="248"/>
      <c r="C130" s="358"/>
      <c r="D130" s="248"/>
      <c r="E130" s="248"/>
      <c r="F130" s="248"/>
      <c r="G130" s="248"/>
      <c r="H130" s="248"/>
      <c r="I130" s="248"/>
      <c r="J130" s="248"/>
      <c r="K130" s="400"/>
      <c r="L130" s="236"/>
      <c r="O130" s="409"/>
      <c r="P130" s="410"/>
      <c r="Q130" s="411"/>
      <c r="R130" s="405"/>
      <c r="S130" s="412"/>
      <c r="T130" s="412"/>
      <c r="U130" s="412"/>
      <c r="V130" s="412"/>
      <c r="W130" s="412"/>
      <c r="X130" s="405"/>
      <c r="Y130" s="408"/>
    </row>
    <row r="131" spans="1:25" ht="30" customHeight="1" x14ac:dyDescent="0.2">
      <c r="A131" s="243" t="s">
        <v>352</v>
      </c>
      <c r="B131" s="242" t="e">
        <f>#REF!</f>
        <v>#REF!</v>
      </c>
      <c r="C131" s="302" t="s">
        <v>286</v>
      </c>
      <c r="D131" s="247">
        <f>J136</f>
        <v>6.62</v>
      </c>
      <c r="E131" s="247"/>
      <c r="F131" s="247"/>
      <c r="G131" s="247"/>
      <c r="H131" s="247"/>
      <c r="I131" s="237"/>
      <c r="J131" s="236"/>
      <c r="K131" s="296"/>
      <c r="L131" s="236"/>
      <c r="N131" s="402"/>
      <c r="O131" s="403"/>
      <c r="P131" s="404"/>
      <c r="Q131" s="405"/>
      <c r="R131" s="405"/>
      <c r="S131" s="405"/>
      <c r="T131" s="405"/>
      <c r="U131" s="405"/>
      <c r="V131" s="406"/>
      <c r="W131" s="407"/>
    </row>
    <row r="132" spans="1:25" x14ac:dyDescent="0.2">
      <c r="A132" s="239"/>
      <c r="B132" s="238"/>
      <c r="C132" s="348"/>
      <c r="D132" s="247"/>
      <c r="E132" s="399">
        <v>4.0999999999999996</v>
      </c>
      <c r="F132" s="399">
        <v>0.5</v>
      </c>
      <c r="G132" s="399"/>
      <c r="H132" s="399"/>
      <c r="I132" s="399">
        <v>2</v>
      </c>
      <c r="J132" s="399">
        <f>E132*F132*I132</f>
        <v>4.0999999999999996</v>
      </c>
      <c r="K132" s="296"/>
      <c r="L132" s="236"/>
      <c r="N132" s="409"/>
      <c r="O132" s="410"/>
      <c r="P132" s="411"/>
      <c r="Q132" s="405"/>
      <c r="R132" s="412"/>
      <c r="S132" s="412"/>
      <c r="T132" s="412"/>
      <c r="U132" s="412"/>
      <c r="V132" s="412"/>
      <c r="W132" s="405"/>
    </row>
    <row r="133" spans="1:25" x14ac:dyDescent="0.2">
      <c r="A133" s="246"/>
      <c r="B133" s="245"/>
      <c r="C133" s="350"/>
      <c r="D133" s="244"/>
      <c r="E133" s="247">
        <v>1.3</v>
      </c>
      <c r="F133" s="247">
        <v>1.4</v>
      </c>
      <c r="G133" s="247"/>
      <c r="H133" s="247" t="s">
        <v>94</v>
      </c>
      <c r="I133" s="355"/>
      <c r="J133" s="247">
        <f>E133*F133</f>
        <v>1.8199999999999998</v>
      </c>
      <c r="K133" s="296"/>
      <c r="L133" s="236"/>
      <c r="N133" s="422"/>
      <c r="O133" s="423"/>
      <c r="P133" s="424"/>
      <c r="Q133" s="425"/>
      <c r="R133" s="426"/>
      <c r="S133" s="426"/>
      <c r="T133" s="426"/>
      <c r="U133" s="426"/>
      <c r="V133" s="426"/>
      <c r="W133" s="425"/>
    </row>
    <row r="134" spans="1:25" x14ac:dyDescent="0.2">
      <c r="A134" s="246"/>
      <c r="B134" s="245"/>
      <c r="C134" s="350"/>
      <c r="D134" s="244"/>
      <c r="E134" s="247">
        <v>1.4</v>
      </c>
      <c r="F134" s="247">
        <v>0.5</v>
      </c>
      <c r="G134" s="247"/>
      <c r="H134" s="247"/>
      <c r="I134" s="355"/>
      <c r="J134" s="247">
        <f>E134*F134</f>
        <v>0.7</v>
      </c>
      <c r="K134" s="296"/>
      <c r="L134" s="236"/>
      <c r="N134" s="422"/>
      <c r="O134" s="423"/>
      <c r="P134" s="424"/>
      <c r="Q134" s="425"/>
      <c r="R134" s="426"/>
      <c r="S134" s="426"/>
      <c r="T134" s="426"/>
      <c r="U134" s="426"/>
      <c r="V134" s="426"/>
      <c r="W134" s="425"/>
    </row>
    <row r="135" spans="1:25" x14ac:dyDescent="0.2">
      <c r="A135" s="239"/>
      <c r="B135" s="238"/>
      <c r="C135" s="348"/>
      <c r="D135" s="247"/>
      <c r="E135" s="247"/>
      <c r="F135" s="247"/>
      <c r="G135" s="247"/>
      <c r="H135" s="247"/>
      <c r="I135" s="247"/>
      <c r="J135" s="247"/>
      <c r="K135" s="296"/>
      <c r="L135" s="236"/>
      <c r="N135" s="409"/>
      <c r="O135" s="410"/>
      <c r="P135" s="411"/>
      <c r="Q135" s="405"/>
      <c r="R135" s="405"/>
      <c r="S135" s="405"/>
      <c r="T135" s="405"/>
      <c r="U135" s="405"/>
      <c r="V135" s="405"/>
      <c r="W135" s="405"/>
    </row>
    <row r="136" spans="1:25" x14ac:dyDescent="0.2">
      <c r="A136" s="270"/>
      <c r="B136" s="276" t="s">
        <v>21</v>
      </c>
      <c r="C136" s="349"/>
      <c r="D136" s="295"/>
      <c r="E136" s="298"/>
      <c r="F136" s="341"/>
      <c r="G136" s="342"/>
      <c r="H136" s="342"/>
      <c r="I136" s="342"/>
      <c r="J136" s="343">
        <f>SUM(J132:J135)</f>
        <v>6.62</v>
      </c>
      <c r="K136" s="344" t="str">
        <f>C131</f>
        <v>M2</v>
      </c>
      <c r="L136" s="357"/>
      <c r="N136" s="413"/>
      <c r="O136" s="414"/>
      <c r="P136" s="415"/>
      <c r="Q136" s="416"/>
      <c r="R136" s="417"/>
      <c r="S136" s="418"/>
      <c r="T136" s="419"/>
      <c r="U136" s="419"/>
      <c r="V136" s="419"/>
      <c r="W136" s="420"/>
    </row>
    <row r="137" spans="1:25" x14ac:dyDescent="0.2">
      <c r="A137" s="270"/>
      <c r="B137" s="276"/>
      <c r="C137" s="349"/>
      <c r="D137" s="295"/>
      <c r="E137" s="298"/>
      <c r="F137" s="341"/>
      <c r="G137" s="342"/>
      <c r="H137" s="342"/>
      <c r="I137" s="342"/>
      <c r="J137" s="343"/>
      <c r="K137" s="344"/>
      <c r="L137" s="357"/>
      <c r="N137" s="413"/>
      <c r="O137" s="414"/>
      <c r="P137" s="415"/>
      <c r="Q137" s="416"/>
      <c r="R137" s="417"/>
      <c r="S137" s="418"/>
      <c r="T137" s="419"/>
      <c r="U137" s="419"/>
      <c r="V137" s="419"/>
      <c r="W137" s="420"/>
    </row>
    <row r="138" spans="1:25" x14ac:dyDescent="0.2">
      <c r="A138" s="270"/>
      <c r="B138" s="276"/>
      <c r="C138" s="349"/>
      <c r="D138" s="295"/>
      <c r="E138" s="298"/>
      <c r="F138" s="341"/>
      <c r="G138" s="342"/>
      <c r="H138" s="342"/>
      <c r="I138" s="342"/>
      <c r="J138" s="343"/>
      <c r="K138" s="344"/>
      <c r="L138" s="357"/>
      <c r="N138" s="413"/>
      <c r="O138" s="414"/>
      <c r="P138" s="415"/>
      <c r="Q138" s="416"/>
      <c r="R138" s="417"/>
      <c r="S138" s="418"/>
      <c r="T138" s="419"/>
      <c r="U138" s="419"/>
      <c r="V138" s="419"/>
      <c r="W138" s="420"/>
    </row>
    <row r="139" spans="1:25" ht="17.100000000000001" customHeight="1" x14ac:dyDescent="0.2">
      <c r="A139" s="243" t="s">
        <v>19</v>
      </c>
      <c r="B139" s="242" t="s">
        <v>311</v>
      </c>
      <c r="C139" s="302" t="s">
        <v>286</v>
      </c>
      <c r="D139" s="247">
        <f>J147</f>
        <v>7.9099999999999984</v>
      </c>
      <c r="E139" s="247"/>
      <c r="F139" s="247"/>
      <c r="G139" s="247"/>
      <c r="H139" s="247"/>
      <c r="I139" s="237"/>
      <c r="J139" s="236"/>
      <c r="K139" s="296"/>
      <c r="L139" s="236"/>
      <c r="O139" s="421"/>
    </row>
    <row r="140" spans="1:25" x14ac:dyDescent="0.2">
      <c r="A140" s="239"/>
      <c r="B140" s="238" t="s">
        <v>289</v>
      </c>
      <c r="C140" s="348"/>
      <c r="D140" s="247"/>
      <c r="E140" s="247">
        <v>1.1000000000000001</v>
      </c>
      <c r="F140" s="247"/>
      <c r="G140" s="346">
        <v>2.2999999999999998</v>
      </c>
      <c r="H140" s="247" t="s">
        <v>284</v>
      </c>
      <c r="I140" s="247">
        <v>2</v>
      </c>
      <c r="J140" s="247">
        <f>I140*G140*E140</f>
        <v>5.0599999999999996</v>
      </c>
      <c r="K140" s="296"/>
      <c r="L140" s="236"/>
    </row>
    <row r="141" spans="1:25" x14ac:dyDescent="0.2">
      <c r="A141" s="239"/>
      <c r="B141" s="238" t="s">
        <v>288</v>
      </c>
      <c r="C141" s="348"/>
      <c r="D141" s="247"/>
      <c r="E141" s="247">
        <v>2</v>
      </c>
      <c r="F141" s="247"/>
      <c r="G141" s="247">
        <v>2.25</v>
      </c>
      <c r="H141" s="247"/>
      <c r="I141" s="247">
        <v>1</v>
      </c>
      <c r="J141" s="247">
        <f>I141*G141*E141</f>
        <v>4.5</v>
      </c>
      <c r="K141" s="296"/>
      <c r="L141" s="236"/>
    </row>
    <row r="142" spans="1:25" x14ac:dyDescent="0.2">
      <c r="A142" s="239"/>
      <c r="B142" s="238" t="s">
        <v>287</v>
      </c>
      <c r="C142" s="348"/>
      <c r="D142" s="247"/>
      <c r="E142" s="247">
        <v>2</v>
      </c>
      <c r="F142" s="247"/>
      <c r="G142" s="247">
        <v>2.5</v>
      </c>
      <c r="H142" s="247"/>
      <c r="I142" s="247">
        <v>1</v>
      </c>
      <c r="J142" s="247">
        <f>I142*G142*E142</f>
        <v>5</v>
      </c>
      <c r="K142" s="296"/>
      <c r="L142" s="236"/>
    </row>
    <row r="143" spans="1:25" x14ac:dyDescent="0.2">
      <c r="A143" s="246"/>
      <c r="B143" s="245" t="s">
        <v>281</v>
      </c>
      <c r="C143" s="350"/>
      <c r="D143" s="244"/>
      <c r="E143" s="244">
        <v>0.7</v>
      </c>
      <c r="F143" s="244">
        <v>2.1</v>
      </c>
      <c r="G143" s="244" t="s">
        <v>94</v>
      </c>
      <c r="H143" s="244"/>
      <c r="I143" s="244">
        <v>1</v>
      </c>
      <c r="J143" s="244">
        <f>E143*F143*I143</f>
        <v>1.47</v>
      </c>
      <c r="K143" s="296"/>
      <c r="L143" s="236"/>
    </row>
    <row r="144" spans="1:25" x14ac:dyDescent="0.2">
      <c r="A144" s="246"/>
      <c r="B144" s="245" t="s">
        <v>280</v>
      </c>
      <c r="C144" s="350"/>
      <c r="D144" s="244"/>
      <c r="E144" s="244">
        <v>0.4</v>
      </c>
      <c r="F144" s="244">
        <v>0.7</v>
      </c>
      <c r="G144" s="244" t="s">
        <v>94</v>
      </c>
      <c r="H144" s="244"/>
      <c r="I144" s="244">
        <v>1</v>
      </c>
      <c r="J144" s="244">
        <f>E144*F144*I144</f>
        <v>0.27999999999999997</v>
      </c>
      <c r="K144" s="296"/>
      <c r="L144" s="236"/>
    </row>
    <row r="145" spans="1:12" x14ac:dyDescent="0.2">
      <c r="A145" s="246"/>
      <c r="B145" s="245" t="s">
        <v>341</v>
      </c>
      <c r="C145" s="350"/>
      <c r="D145" s="244"/>
      <c r="E145" s="244"/>
      <c r="F145" s="244"/>
      <c r="G145" s="244"/>
      <c r="H145" s="244"/>
      <c r="I145" s="244"/>
      <c r="J145" s="244">
        <f>J83</f>
        <v>4.9000000000000004</v>
      </c>
      <c r="K145" s="296"/>
      <c r="L145" s="236"/>
    </row>
    <row r="146" spans="1:12" x14ac:dyDescent="0.2">
      <c r="A146" s="239"/>
      <c r="B146" s="238" t="s">
        <v>94</v>
      </c>
      <c r="C146" s="348"/>
      <c r="D146" s="247"/>
      <c r="E146" s="247" t="s">
        <v>94</v>
      </c>
      <c r="F146" s="247" t="s">
        <v>94</v>
      </c>
      <c r="G146" s="247" t="s">
        <v>94</v>
      </c>
      <c r="H146" s="247" t="s">
        <v>94</v>
      </c>
      <c r="I146" s="237" t="s">
        <v>94</v>
      </c>
      <c r="J146" s="247" t="s">
        <v>94</v>
      </c>
      <c r="K146" s="296"/>
      <c r="L146" s="236"/>
    </row>
    <row r="147" spans="1:12" x14ac:dyDescent="0.2">
      <c r="A147" s="270"/>
      <c r="B147" s="276" t="s">
        <v>21</v>
      </c>
      <c r="C147" s="349"/>
      <c r="D147" s="295"/>
      <c r="E147" s="298"/>
      <c r="F147" s="341"/>
      <c r="G147" s="342"/>
      <c r="H147" s="342"/>
      <c r="I147" s="342"/>
      <c r="J147" s="343">
        <f>J140+J141+J142-J143-J144-J145</f>
        <v>7.9099999999999984</v>
      </c>
      <c r="K147" s="344" t="str">
        <f>C139</f>
        <v>M2</v>
      </c>
      <c r="L147" s="357"/>
    </row>
    <row r="148" spans="1:12" x14ac:dyDescent="0.2">
      <c r="A148" s="270"/>
      <c r="B148" s="276"/>
      <c r="C148" s="349"/>
      <c r="D148" s="295"/>
      <c r="E148" s="298"/>
      <c r="F148" s="341"/>
      <c r="G148" s="342"/>
      <c r="H148" s="342"/>
      <c r="I148" s="342"/>
      <c r="J148" s="343"/>
      <c r="K148" s="344"/>
      <c r="L148" s="357"/>
    </row>
    <row r="149" spans="1:12" ht="17.100000000000001" customHeight="1" x14ac:dyDescent="0.2">
      <c r="A149" s="243" t="s">
        <v>351</v>
      </c>
      <c r="B149" s="242" t="s">
        <v>312</v>
      </c>
      <c r="C149" s="302" t="s">
        <v>286</v>
      </c>
      <c r="D149" s="247">
        <f>J156</f>
        <v>15.614999999999998</v>
      </c>
      <c r="E149" s="247"/>
      <c r="F149" s="247"/>
      <c r="G149" s="247"/>
      <c r="H149" s="247"/>
      <c r="I149" s="237"/>
      <c r="J149" s="236"/>
      <c r="K149" s="296"/>
      <c r="L149" s="236"/>
    </row>
    <row r="150" spans="1:12" x14ac:dyDescent="0.2">
      <c r="A150" s="239"/>
      <c r="B150" s="238" t="s">
        <v>285</v>
      </c>
      <c r="C150" s="348"/>
      <c r="D150" s="247"/>
      <c r="E150" s="247">
        <v>1.4</v>
      </c>
      <c r="F150" s="247"/>
      <c r="G150" s="346">
        <v>2.2999999999999998</v>
      </c>
      <c r="H150" s="247" t="s">
        <v>284</v>
      </c>
      <c r="I150" s="247">
        <v>2</v>
      </c>
      <c r="J150" s="247">
        <f>I150*G150*E150</f>
        <v>6.4399999999999995</v>
      </c>
      <c r="K150" s="296"/>
      <c r="L150" s="236"/>
    </row>
    <row r="151" spans="1:12" x14ac:dyDescent="0.2">
      <c r="A151" s="239"/>
      <c r="B151" s="238" t="s">
        <v>283</v>
      </c>
      <c r="C151" s="348"/>
      <c r="D151" s="247"/>
      <c r="E151" s="247">
        <v>2.2999999999999998</v>
      </c>
      <c r="F151" s="247"/>
      <c r="G151" s="247">
        <v>2.25</v>
      </c>
      <c r="H151" s="247"/>
      <c r="I151" s="247">
        <v>1</v>
      </c>
      <c r="J151" s="247">
        <f>I151*G151*E151</f>
        <v>5.1749999999999998</v>
      </c>
      <c r="K151" s="296"/>
      <c r="L151" s="236"/>
    </row>
    <row r="152" spans="1:12" x14ac:dyDescent="0.2">
      <c r="A152" s="239"/>
      <c r="B152" s="238" t="s">
        <v>282</v>
      </c>
      <c r="C152" s="348"/>
      <c r="D152" s="247"/>
      <c r="E152" s="247">
        <v>2.2999999999999998</v>
      </c>
      <c r="F152" s="247"/>
      <c r="G152" s="247">
        <v>2.5</v>
      </c>
      <c r="H152" s="247"/>
      <c r="I152" s="247">
        <v>1</v>
      </c>
      <c r="J152" s="247">
        <f>I152*G152*E152</f>
        <v>5.75</v>
      </c>
      <c r="K152" s="296"/>
      <c r="L152" s="236"/>
    </row>
    <row r="153" spans="1:12" x14ac:dyDescent="0.2">
      <c r="A153" s="246"/>
      <c r="B153" s="245" t="s">
        <v>281</v>
      </c>
      <c r="C153" s="350"/>
      <c r="D153" s="244"/>
      <c r="E153" s="244">
        <v>0.7</v>
      </c>
      <c r="F153" s="244">
        <v>2.1</v>
      </c>
      <c r="G153" s="244" t="s">
        <v>94</v>
      </c>
      <c r="H153" s="244"/>
      <c r="I153" s="244">
        <v>1</v>
      </c>
      <c r="J153" s="244">
        <f>E153*F153*I153</f>
        <v>1.47</v>
      </c>
      <c r="K153" s="296"/>
      <c r="L153" s="357"/>
    </row>
    <row r="154" spans="1:12" x14ac:dyDescent="0.2">
      <c r="A154" s="246"/>
      <c r="B154" s="245" t="s">
        <v>280</v>
      </c>
      <c r="C154" s="350"/>
      <c r="D154" s="244"/>
      <c r="E154" s="244">
        <v>0.4</v>
      </c>
      <c r="F154" s="244">
        <v>0.7</v>
      </c>
      <c r="G154" s="244" t="s">
        <v>94</v>
      </c>
      <c r="H154" s="244"/>
      <c r="I154" s="244">
        <v>1</v>
      </c>
      <c r="J154" s="244">
        <f>E154*F154*I154</f>
        <v>0.27999999999999997</v>
      </c>
      <c r="K154" s="296"/>
      <c r="L154" s="236"/>
    </row>
    <row r="155" spans="1:12" x14ac:dyDescent="0.2">
      <c r="A155" s="239"/>
      <c r="B155" s="238" t="s">
        <v>94</v>
      </c>
      <c r="C155" s="348"/>
      <c r="D155" s="247"/>
      <c r="E155" s="247" t="s">
        <v>94</v>
      </c>
      <c r="F155" s="247" t="s">
        <v>94</v>
      </c>
      <c r="G155" s="247" t="s">
        <v>94</v>
      </c>
      <c r="H155" s="247" t="s">
        <v>94</v>
      </c>
      <c r="I155" s="237" t="s">
        <v>94</v>
      </c>
      <c r="J155" s="247" t="s">
        <v>94</v>
      </c>
      <c r="K155" s="296"/>
      <c r="L155" s="236"/>
    </row>
    <row r="156" spans="1:12" x14ac:dyDescent="0.2">
      <c r="A156" s="270"/>
      <c r="B156" s="276" t="s">
        <v>21</v>
      </c>
      <c r="C156" s="349"/>
      <c r="D156" s="295"/>
      <c r="E156" s="298"/>
      <c r="F156" s="341"/>
      <c r="G156" s="342"/>
      <c r="H156" s="342"/>
      <c r="I156" s="342"/>
      <c r="J156" s="343">
        <f>J150+J151+J152-J153-J154</f>
        <v>15.614999999999998</v>
      </c>
      <c r="K156" s="344" t="str">
        <f>C149</f>
        <v>M2</v>
      </c>
      <c r="L156" s="236"/>
    </row>
    <row r="157" spans="1:12" x14ac:dyDescent="0.2">
      <c r="A157" s="270"/>
      <c r="B157" s="276"/>
      <c r="C157" s="349"/>
      <c r="D157" s="295"/>
      <c r="E157" s="298"/>
      <c r="F157" s="341"/>
      <c r="G157" s="342"/>
      <c r="H157" s="342"/>
      <c r="I157" s="342"/>
      <c r="J157" s="343"/>
      <c r="K157" s="344"/>
      <c r="L157" s="236"/>
    </row>
    <row r="158" spans="1:12" ht="42.75" customHeight="1" x14ac:dyDescent="0.2">
      <c r="A158" s="243" t="s">
        <v>398</v>
      </c>
      <c r="B158" s="242" t="s">
        <v>400</v>
      </c>
      <c r="C158" s="302" t="s">
        <v>286</v>
      </c>
      <c r="D158" s="247">
        <f>J162</f>
        <v>3.5</v>
      </c>
      <c r="E158" s="247"/>
      <c r="F158" s="247"/>
      <c r="G158" s="247"/>
      <c r="H158" s="247"/>
      <c r="I158" s="237"/>
      <c r="J158" s="236"/>
      <c r="K158" s="296"/>
      <c r="L158" s="236"/>
    </row>
    <row r="159" spans="1:12" x14ac:dyDescent="0.2">
      <c r="A159" s="241"/>
      <c r="B159" s="240" t="s">
        <v>281</v>
      </c>
      <c r="C159" s="351"/>
      <c r="D159" s="346"/>
      <c r="E159" s="346">
        <v>0.7</v>
      </c>
      <c r="F159" s="346">
        <v>2.1</v>
      </c>
      <c r="G159" s="346" t="s">
        <v>94</v>
      </c>
      <c r="H159" s="346"/>
      <c r="I159" s="346">
        <v>2</v>
      </c>
      <c r="J159" s="346">
        <f>E159*F159*I159</f>
        <v>2.94</v>
      </c>
      <c r="K159" s="347"/>
      <c r="L159" s="357"/>
    </row>
    <row r="160" spans="1:12" x14ac:dyDescent="0.2">
      <c r="A160" s="241"/>
      <c r="B160" s="240" t="s">
        <v>280</v>
      </c>
      <c r="C160" s="351"/>
      <c r="D160" s="346"/>
      <c r="E160" s="346">
        <v>0.4</v>
      </c>
      <c r="F160" s="346">
        <v>0.7</v>
      </c>
      <c r="G160" s="346" t="s">
        <v>94</v>
      </c>
      <c r="H160" s="346"/>
      <c r="I160" s="346">
        <v>2</v>
      </c>
      <c r="J160" s="346">
        <f>E160*F160*I160</f>
        <v>0.55999999999999994</v>
      </c>
      <c r="K160" s="347"/>
      <c r="L160" s="357"/>
    </row>
    <row r="161" spans="1:20" x14ac:dyDescent="0.2">
      <c r="A161" s="241"/>
      <c r="B161" s="240"/>
      <c r="C161" s="351"/>
      <c r="D161" s="346"/>
      <c r="E161" s="346"/>
      <c r="F161" s="346"/>
      <c r="G161" s="346"/>
      <c r="H161" s="346"/>
      <c r="I161" s="346"/>
      <c r="J161" s="346"/>
      <c r="K161" s="347"/>
      <c r="L161" s="236"/>
    </row>
    <row r="162" spans="1:20" x14ac:dyDescent="0.2">
      <c r="A162" s="270"/>
      <c r="B162" s="276" t="s">
        <v>21</v>
      </c>
      <c r="C162" s="349"/>
      <c r="D162" s="295"/>
      <c r="E162" s="298"/>
      <c r="F162" s="341"/>
      <c r="G162" s="342"/>
      <c r="H162" s="342"/>
      <c r="I162" s="342"/>
      <c r="J162" s="343">
        <f>SUM(J159:J161)</f>
        <v>3.5</v>
      </c>
      <c r="K162" s="344" t="str">
        <f>C158</f>
        <v>M2</v>
      </c>
      <c r="L162" s="236"/>
    </row>
    <row r="163" spans="1:20" x14ac:dyDescent="0.2">
      <c r="A163" s="270"/>
      <c r="B163" s="276"/>
      <c r="C163" s="349"/>
      <c r="D163" s="295"/>
      <c r="E163" s="298"/>
      <c r="F163" s="341"/>
      <c r="G163" s="342"/>
      <c r="H163" s="342"/>
      <c r="I163" s="342"/>
      <c r="J163" s="343"/>
      <c r="K163" s="344"/>
      <c r="L163" s="236"/>
    </row>
    <row r="164" spans="1:20" ht="30" customHeight="1" x14ac:dyDescent="0.2">
      <c r="A164" s="243" t="s">
        <v>399</v>
      </c>
      <c r="B164" s="242" t="s">
        <v>396</v>
      </c>
      <c r="C164" s="302" t="s">
        <v>286</v>
      </c>
      <c r="D164" s="247">
        <f>J167</f>
        <v>0.36</v>
      </c>
      <c r="E164" s="247"/>
      <c r="F164" s="247"/>
      <c r="G164" s="247"/>
      <c r="H164" s="247"/>
      <c r="I164" s="237"/>
      <c r="J164" s="236"/>
      <c r="K164" s="296"/>
      <c r="L164" s="236"/>
      <c r="M164" s="398" t="s">
        <v>392</v>
      </c>
      <c r="N164" s="249"/>
    </row>
    <row r="165" spans="1:20" x14ac:dyDescent="0.2">
      <c r="A165" s="241"/>
      <c r="B165" s="240"/>
      <c r="C165" s="351"/>
      <c r="D165" s="346"/>
      <c r="E165" s="346">
        <v>0.15</v>
      </c>
      <c r="F165" s="346">
        <v>0.4</v>
      </c>
      <c r="G165" s="346" t="s">
        <v>94</v>
      </c>
      <c r="H165" s="346"/>
      <c r="I165" s="346">
        <v>6</v>
      </c>
      <c r="J165" s="346">
        <f>E165*F165*I165</f>
        <v>0.36</v>
      </c>
      <c r="K165" s="347"/>
      <c r="L165" s="236"/>
    </row>
    <row r="166" spans="1:20" x14ac:dyDescent="0.2">
      <c r="A166" s="239"/>
      <c r="B166" s="238" t="s">
        <v>94</v>
      </c>
      <c r="C166" s="348"/>
      <c r="D166" s="247"/>
      <c r="E166" s="247" t="s">
        <v>94</v>
      </c>
      <c r="F166" s="247" t="s">
        <v>94</v>
      </c>
      <c r="G166" s="247" t="s">
        <v>94</v>
      </c>
      <c r="H166" s="247" t="s">
        <v>94</v>
      </c>
      <c r="I166" s="237" t="s">
        <v>94</v>
      </c>
      <c r="J166" s="247" t="s">
        <v>94</v>
      </c>
      <c r="K166" s="296"/>
      <c r="L166" s="236"/>
      <c r="O166" s="249"/>
      <c r="P166" s="249"/>
      <c r="Q166" s="249"/>
      <c r="R166" s="249"/>
      <c r="S166" s="249"/>
      <c r="T166" s="249"/>
    </row>
    <row r="167" spans="1:20" x14ac:dyDescent="0.2">
      <c r="A167" s="270"/>
      <c r="B167" s="276" t="s">
        <v>21</v>
      </c>
      <c r="C167" s="349"/>
      <c r="D167" s="295"/>
      <c r="E167" s="298"/>
      <c r="F167" s="341"/>
      <c r="G167" s="342"/>
      <c r="H167" s="342"/>
      <c r="I167" s="342"/>
      <c r="J167" s="343">
        <f>SUM(J165)</f>
        <v>0.36</v>
      </c>
      <c r="K167" s="344" t="str">
        <f>C164</f>
        <v>M2</v>
      </c>
      <c r="L167" s="236"/>
    </row>
    <row r="168" spans="1:20" x14ac:dyDescent="0.2">
      <c r="A168" s="248"/>
      <c r="B168" s="248"/>
      <c r="C168" s="358"/>
      <c r="D168" s="248"/>
      <c r="E168" s="248"/>
      <c r="F168" s="248"/>
      <c r="G168" s="248"/>
      <c r="H168" s="248"/>
      <c r="I168" s="248"/>
      <c r="J168" s="248"/>
      <c r="K168" s="400"/>
    </row>
    <row r="169" spans="1:20" x14ac:dyDescent="0.2">
      <c r="A169" s="684"/>
      <c r="B169" s="248"/>
      <c r="C169" s="358"/>
      <c r="D169" s="248"/>
      <c r="E169" s="248"/>
      <c r="F169" s="248"/>
      <c r="G169" s="248"/>
      <c r="H169" s="248"/>
      <c r="I169" s="248"/>
      <c r="J169" s="248"/>
      <c r="K169" s="400"/>
    </row>
    <row r="170" spans="1:20" x14ac:dyDescent="0.2">
      <c r="A170" s="248"/>
      <c r="B170" s="248"/>
      <c r="C170" s="358"/>
      <c r="D170" s="248"/>
      <c r="E170" s="248"/>
      <c r="F170" s="248"/>
      <c r="G170" s="248"/>
      <c r="H170" s="248"/>
      <c r="I170" s="248"/>
      <c r="J170" s="248"/>
      <c r="K170" s="400"/>
    </row>
    <row r="171" spans="1:20" x14ac:dyDescent="0.2">
      <c r="A171" s="248"/>
      <c r="B171" s="248"/>
      <c r="C171" s="358"/>
      <c r="D171" s="248"/>
      <c r="E171" s="248"/>
      <c r="F171" s="248"/>
      <c r="G171" s="248"/>
      <c r="H171" s="248"/>
      <c r="I171" s="248"/>
      <c r="J171" s="248"/>
      <c r="K171" s="400"/>
    </row>
    <row r="172" spans="1:20" x14ac:dyDescent="0.2">
      <c r="A172" s="248"/>
      <c r="B172" s="248"/>
      <c r="C172" s="358"/>
      <c r="D172" s="248"/>
      <c r="E172" s="248"/>
      <c r="F172" s="248"/>
      <c r="G172" s="248"/>
      <c r="H172" s="248"/>
      <c r="I172" s="248"/>
      <c r="J172" s="248"/>
      <c r="K172" s="400"/>
    </row>
    <row r="173" spans="1:20" x14ac:dyDescent="0.2">
      <c r="A173" s="248"/>
      <c r="B173" s="248"/>
      <c r="C173" s="358"/>
      <c r="D173" s="248"/>
      <c r="E173" s="248"/>
      <c r="F173" s="248"/>
      <c r="G173" s="248"/>
      <c r="H173" s="248"/>
      <c r="I173" s="248"/>
      <c r="J173" s="248"/>
      <c r="K173" s="400"/>
    </row>
    <row r="174" spans="1:20" x14ac:dyDescent="0.2">
      <c r="A174" s="248"/>
      <c r="B174" s="248"/>
      <c r="C174" s="358"/>
      <c r="D174" s="248"/>
      <c r="E174" s="248"/>
      <c r="F174" s="248"/>
      <c r="G174" s="248"/>
      <c r="H174" s="248"/>
      <c r="I174" s="248"/>
      <c r="J174" s="248"/>
      <c r="K174" s="400"/>
    </row>
    <row r="175" spans="1:20" x14ac:dyDescent="0.2">
      <c r="A175" s="248"/>
      <c r="B175" s="248"/>
      <c r="C175" s="358"/>
      <c r="D175" s="248"/>
      <c r="E175" s="248"/>
      <c r="F175" s="248"/>
      <c r="G175" s="248"/>
      <c r="H175" s="248"/>
      <c r="I175" s="248"/>
      <c r="J175" s="248"/>
      <c r="K175" s="400"/>
    </row>
    <row r="176" spans="1:20" x14ac:dyDescent="0.2">
      <c r="A176" s="248"/>
      <c r="B176" s="248"/>
      <c r="C176" s="358"/>
      <c r="D176" s="248"/>
      <c r="E176" s="248"/>
      <c r="F176" s="248"/>
      <c r="G176" s="248"/>
      <c r="H176" s="248"/>
      <c r="I176" s="248"/>
      <c r="J176" s="248"/>
      <c r="K176" s="400"/>
    </row>
    <row r="177" spans="1:11" x14ac:dyDescent="0.2">
      <c r="A177" s="248"/>
      <c r="B177" s="248"/>
      <c r="C177" s="358"/>
      <c r="D177" s="248"/>
      <c r="E177" s="248"/>
      <c r="F177" s="248"/>
      <c r="G177" s="248"/>
      <c r="H177" s="248"/>
      <c r="I177" s="248"/>
      <c r="J177" s="248"/>
      <c r="K177" s="400"/>
    </row>
    <row r="178" spans="1:11" x14ac:dyDescent="0.2">
      <c r="A178" s="248"/>
      <c r="B178" s="248"/>
      <c r="C178" s="358"/>
      <c r="D178" s="248"/>
      <c r="E178" s="248"/>
      <c r="F178" s="248"/>
      <c r="G178" s="248"/>
      <c r="H178" s="248"/>
      <c r="I178" s="248"/>
      <c r="J178" s="248"/>
      <c r="K178" s="400"/>
    </row>
    <row r="179" spans="1:11" x14ac:dyDescent="0.2">
      <c r="A179" s="248"/>
      <c r="B179" s="248"/>
      <c r="C179" s="358"/>
      <c r="D179" s="248"/>
      <c r="E179" s="248"/>
      <c r="F179" s="248"/>
      <c r="G179" s="248"/>
      <c r="H179" s="248"/>
      <c r="I179" s="248"/>
      <c r="J179" s="248"/>
      <c r="K179" s="400"/>
    </row>
    <row r="180" spans="1:11" x14ac:dyDescent="0.2">
      <c r="A180" s="248"/>
      <c r="B180" s="248"/>
      <c r="C180" s="358"/>
      <c r="D180" s="248"/>
      <c r="E180" s="248"/>
      <c r="F180" s="248"/>
      <c r="G180" s="248"/>
      <c r="H180" s="248"/>
      <c r="I180" s="248"/>
      <c r="J180" s="248"/>
      <c r="K180" s="400"/>
    </row>
    <row r="181" spans="1:11" x14ac:dyDescent="0.2">
      <c r="A181" s="248"/>
      <c r="B181" s="248"/>
      <c r="C181" s="358"/>
      <c r="D181" s="248"/>
      <c r="E181" s="248"/>
      <c r="F181" s="248"/>
      <c r="G181" s="248"/>
      <c r="H181" s="248"/>
      <c r="I181" s="248"/>
      <c r="J181" s="248"/>
      <c r="K181" s="400"/>
    </row>
    <row r="182" spans="1:11" x14ac:dyDescent="0.2">
      <c r="A182" s="248"/>
      <c r="B182" s="248"/>
      <c r="C182" s="358"/>
      <c r="D182" s="248"/>
      <c r="E182" s="248"/>
      <c r="F182" s="248"/>
      <c r="G182" s="248"/>
      <c r="H182" s="248"/>
      <c r="I182" s="248"/>
      <c r="J182" s="248"/>
      <c r="K182" s="400"/>
    </row>
    <row r="183" spans="1:11" x14ac:dyDescent="0.2">
      <c r="A183" s="248"/>
      <c r="B183" s="248"/>
      <c r="C183" s="358"/>
      <c r="D183" s="248"/>
      <c r="E183" s="248"/>
      <c r="F183" s="248"/>
      <c r="G183" s="248"/>
      <c r="H183" s="248"/>
      <c r="I183" s="248"/>
      <c r="J183" s="248"/>
      <c r="K183" s="400"/>
    </row>
    <row r="184" spans="1:11" x14ac:dyDescent="0.2">
      <c r="A184" s="248"/>
      <c r="B184" s="248"/>
      <c r="C184" s="358"/>
      <c r="D184" s="248"/>
      <c r="E184" s="248"/>
      <c r="F184" s="248"/>
      <c r="G184" s="248"/>
      <c r="H184" s="248"/>
      <c r="I184" s="248"/>
      <c r="J184" s="248"/>
      <c r="K184" s="400"/>
    </row>
  </sheetData>
  <sheetProtection algorithmName="SHA-512" hashValue="8txDpi+3cqlyqZXcHSBgI59YvUsQwAHww8S/bYvXqDik5D2j3uC4Sy8dtWKUt2+1hSZqTeSZEE86ZHlLRCTrVQ==" saltValue="Xfd56fCgO+SYWpZ2gGJxQQ==" spinCount="100000" sheet="1" objects="1" scenarios="1" selectLockedCells="1" selectUnlockedCells="1"/>
  <mergeCells count="8">
    <mergeCell ref="M120:Q120"/>
    <mergeCell ref="M114:R116"/>
    <mergeCell ref="M108:R108"/>
    <mergeCell ref="A1:L2"/>
    <mergeCell ref="E4:L4"/>
    <mergeCell ref="A5:L5"/>
    <mergeCell ref="B6:L6"/>
    <mergeCell ref="C48:E48"/>
  </mergeCells>
  <printOptions horizontalCentered="1"/>
  <pageMargins left="0.51181102362204722" right="0.51181102362204722" top="0.78740157480314965" bottom="0.78740157480314965" header="0.31496062992125984" footer="0.31496062992125984"/>
  <pageSetup paperSize="9" scale="4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L12"/>
  <sheetViews>
    <sheetView topLeftCell="A4" workbookViewId="0">
      <selection activeCell="G4" sqref="G4:H4"/>
    </sheetView>
  </sheetViews>
  <sheetFormatPr defaultRowHeight="12.75" x14ac:dyDescent="0.2"/>
  <cols>
    <col min="1" max="2" width="6.7109375" style="2" customWidth="1"/>
    <col min="3" max="3" width="45.7109375" style="2" customWidth="1"/>
    <col min="4" max="4" width="8.7109375" style="2" customWidth="1"/>
    <col min="5" max="5" width="8.7109375" style="231" customWidth="1"/>
    <col min="6" max="7" width="8.7109375" style="2" customWidth="1"/>
    <col min="8" max="8" width="12.7109375" style="2" customWidth="1"/>
    <col min="9" max="16384" width="9.140625" style="2"/>
  </cols>
  <sheetData>
    <row r="1" spans="1:12" s="5" customFormat="1" ht="51.75" customHeight="1" thickBot="1" x14ac:dyDescent="0.25">
      <c r="A1" s="890"/>
      <c r="B1" s="891"/>
      <c r="C1" s="891"/>
      <c r="D1" s="891"/>
      <c r="E1" s="891"/>
      <c r="F1" s="891"/>
      <c r="G1" s="891"/>
      <c r="H1" s="892"/>
    </row>
    <row r="2" spans="1:12" s="5" customFormat="1" ht="17.100000000000001" customHeight="1" x14ac:dyDescent="0.2">
      <c r="A2" s="893" t="s">
        <v>870</v>
      </c>
      <c r="B2" s="894"/>
      <c r="C2" s="894"/>
      <c r="D2" s="894"/>
      <c r="E2" s="894"/>
      <c r="F2" s="894"/>
      <c r="G2" s="894"/>
      <c r="H2" s="895"/>
    </row>
    <row r="3" spans="1:12" s="5" customFormat="1" ht="17.100000000000001" customHeight="1" x14ac:dyDescent="0.2">
      <c r="A3" s="896" t="s">
        <v>277</v>
      </c>
      <c r="B3" s="815"/>
      <c r="C3" s="815" t="e">
        <f>#REF!</f>
        <v>#REF!</v>
      </c>
      <c r="D3" s="815"/>
      <c r="E3" s="827" t="s">
        <v>339</v>
      </c>
      <c r="F3" s="827"/>
      <c r="G3" s="897" t="e">
        <f>#REF!</f>
        <v>#REF!</v>
      </c>
      <c r="H3" s="898"/>
    </row>
    <row r="4" spans="1:12" s="5" customFormat="1" ht="17.100000000000001" customHeight="1" thickBot="1" x14ac:dyDescent="0.25">
      <c r="A4" s="896" t="s">
        <v>333</v>
      </c>
      <c r="B4" s="815"/>
      <c r="C4" s="815" t="e">
        <f>#REF!</f>
        <v>#REF!</v>
      </c>
      <c r="D4" s="815"/>
      <c r="E4" s="827" t="s">
        <v>338</v>
      </c>
      <c r="F4" s="827"/>
      <c r="G4" s="817" t="e">
        <f>#REF!</f>
        <v>#REF!</v>
      </c>
      <c r="H4" s="818"/>
    </row>
    <row r="5" spans="1:12" s="5" customFormat="1" ht="17.100000000000001" customHeight="1" thickBot="1" x14ac:dyDescent="0.25">
      <c r="A5" s="877"/>
      <c r="B5" s="878"/>
      <c r="C5" s="878"/>
      <c r="D5" s="878"/>
      <c r="E5" s="878"/>
      <c r="F5" s="878"/>
      <c r="G5" s="878"/>
      <c r="H5" s="879"/>
      <c r="I5" s="229"/>
    </row>
    <row r="6" spans="1:12" ht="17.100000000000001" customHeight="1" thickBot="1" x14ac:dyDescent="0.25">
      <c r="A6" s="884" t="s">
        <v>885</v>
      </c>
      <c r="B6" s="885"/>
      <c r="C6" s="885"/>
      <c r="D6" s="886"/>
      <c r="E6" s="886"/>
      <c r="F6" s="886"/>
      <c r="G6" s="886"/>
      <c r="H6" s="314"/>
    </row>
    <row r="7" spans="1:12" ht="30" customHeight="1" thickBot="1" x14ac:dyDescent="0.25">
      <c r="A7" s="223" t="s">
        <v>0</v>
      </c>
      <c r="B7" s="880" t="s">
        <v>1</v>
      </c>
      <c r="C7" s="881"/>
      <c r="D7" s="757" t="s">
        <v>2</v>
      </c>
      <c r="E7" s="313" t="s">
        <v>3</v>
      </c>
      <c r="F7" s="311" t="s">
        <v>4</v>
      </c>
      <c r="G7" s="310" t="s">
        <v>5</v>
      </c>
      <c r="H7" s="312" t="s">
        <v>275</v>
      </c>
    </row>
    <row r="8" spans="1:12" ht="23.25" customHeight="1" thickBot="1" x14ac:dyDescent="0.25">
      <c r="A8" s="8">
        <v>1</v>
      </c>
      <c r="B8" s="887" t="s">
        <v>775</v>
      </c>
      <c r="C8" s="888"/>
      <c r="D8" s="888"/>
      <c r="E8" s="888"/>
      <c r="F8" s="888"/>
      <c r="G8" s="888"/>
      <c r="H8" s="889"/>
    </row>
    <row r="9" spans="1:12" ht="69" customHeight="1" thickBot="1" x14ac:dyDescent="0.25">
      <c r="A9" s="316" t="s">
        <v>6</v>
      </c>
      <c r="B9" s="882" t="s">
        <v>884</v>
      </c>
      <c r="C9" s="883"/>
      <c r="D9" s="317" t="s">
        <v>39</v>
      </c>
      <c r="E9" s="267">
        <v>1</v>
      </c>
      <c r="F9" s="318">
        <f>'11. Composições'!G71</f>
        <v>466.61131656000009</v>
      </c>
      <c r="G9" s="319">
        <f>ROUND(E9*F9,2)</f>
        <v>466.61</v>
      </c>
      <c r="H9" s="736" t="s">
        <v>350</v>
      </c>
      <c r="I9" s="217"/>
      <c r="J9" s="217"/>
      <c r="K9" s="217"/>
      <c r="L9" s="217"/>
    </row>
    <row r="10" spans="1:12" ht="17.100000000000001" customHeight="1" thickBot="1" x14ac:dyDescent="0.25">
      <c r="A10" s="873" t="s">
        <v>32</v>
      </c>
      <c r="B10" s="874"/>
      <c r="C10" s="874"/>
      <c r="D10" s="874"/>
      <c r="E10" s="874"/>
      <c r="F10" s="874"/>
      <c r="G10" s="320">
        <f>SUM(G9:G9)</f>
        <v>466.61</v>
      </c>
      <c r="H10" s="321"/>
    </row>
    <row r="12" spans="1:12" ht="52.5" customHeight="1" x14ac:dyDescent="0.2">
      <c r="C12" s="875" t="s">
        <v>269</v>
      </c>
      <c r="D12" s="876"/>
      <c r="E12" s="876"/>
      <c r="F12" s="876"/>
      <c r="G12" s="876"/>
      <c r="H12" s="876"/>
    </row>
  </sheetData>
  <mergeCells count="17">
    <mergeCell ref="A1:H1"/>
    <mergeCell ref="A2:H2"/>
    <mergeCell ref="A3:B3"/>
    <mergeCell ref="A4:B4"/>
    <mergeCell ref="C3:D3"/>
    <mergeCell ref="E3:F3"/>
    <mergeCell ref="G3:H3"/>
    <mergeCell ref="C4:D4"/>
    <mergeCell ref="E4:F4"/>
    <mergeCell ref="G4:H4"/>
    <mergeCell ref="A10:F10"/>
    <mergeCell ref="C12:H12"/>
    <mergeCell ref="A5:H5"/>
    <mergeCell ref="B7:C7"/>
    <mergeCell ref="B9:C9"/>
    <mergeCell ref="A6:G6"/>
    <mergeCell ref="B8:H8"/>
  </mergeCells>
  <printOptions horizontalCentered="1"/>
  <pageMargins left="0.59055118110236227" right="0.59055118110236227" top="1.1811023622047245" bottom="0.98425196850393704"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Y74"/>
  <sheetViews>
    <sheetView workbookViewId="0">
      <selection sqref="A1:L1"/>
    </sheetView>
  </sheetViews>
  <sheetFormatPr defaultRowHeight="12.75" x14ac:dyDescent="0.2"/>
  <cols>
    <col min="1" max="1" width="8.140625" style="232" customWidth="1"/>
    <col min="2" max="2" width="66.28515625" style="232" customWidth="1"/>
    <col min="3" max="3" width="7.85546875" style="232" customWidth="1"/>
    <col min="4" max="4" width="8.5703125" style="564" customWidth="1"/>
    <col min="5" max="5" width="10.7109375" style="232" customWidth="1"/>
    <col min="6" max="6" width="13.28515625" style="232" customWidth="1"/>
    <col min="7" max="7" width="11.7109375" style="232" customWidth="1"/>
    <col min="8" max="11" width="9.140625" style="232"/>
    <col min="12" max="12" width="35.7109375" style="232" customWidth="1"/>
    <col min="13" max="256" width="9.140625" style="232"/>
    <col min="257" max="257" width="5.28515625" style="232" customWidth="1"/>
    <col min="258" max="258" width="57" style="232" customWidth="1"/>
    <col min="259" max="259" width="5" style="232" customWidth="1"/>
    <col min="260" max="260" width="7" style="232" customWidth="1"/>
    <col min="261" max="261" width="9.140625" style="232"/>
    <col min="262" max="262" width="13.28515625" style="232" customWidth="1"/>
    <col min="263" max="263" width="11.7109375" style="232" customWidth="1"/>
    <col min="264" max="512" width="9.140625" style="232"/>
    <col min="513" max="513" width="5.28515625" style="232" customWidth="1"/>
    <col min="514" max="514" width="57" style="232" customWidth="1"/>
    <col min="515" max="515" width="5" style="232" customWidth="1"/>
    <col min="516" max="516" width="7" style="232" customWidth="1"/>
    <col min="517" max="517" width="9.140625" style="232"/>
    <col min="518" max="518" width="13.28515625" style="232" customWidth="1"/>
    <col min="519" max="519" width="11.7109375" style="232" customWidth="1"/>
    <col min="520" max="768" width="9.140625" style="232"/>
    <col min="769" max="769" width="5.28515625" style="232" customWidth="1"/>
    <col min="770" max="770" width="57" style="232" customWidth="1"/>
    <col min="771" max="771" width="5" style="232" customWidth="1"/>
    <col min="772" max="772" width="7" style="232" customWidth="1"/>
    <col min="773" max="773" width="9.140625" style="232"/>
    <col min="774" max="774" width="13.28515625" style="232" customWidth="1"/>
    <col min="775" max="775" width="11.7109375" style="232" customWidth="1"/>
    <col min="776" max="1024" width="9.140625" style="232"/>
    <col min="1025" max="1025" width="5.28515625" style="232" customWidth="1"/>
    <col min="1026" max="1026" width="57" style="232" customWidth="1"/>
    <col min="1027" max="1027" width="5" style="232" customWidth="1"/>
    <col min="1028" max="1028" width="7" style="232" customWidth="1"/>
    <col min="1029" max="1029" width="9.140625" style="232"/>
    <col min="1030" max="1030" width="13.28515625" style="232" customWidth="1"/>
    <col min="1031" max="1031" width="11.7109375" style="232" customWidth="1"/>
    <col min="1032" max="1280" width="9.140625" style="232"/>
    <col min="1281" max="1281" width="5.28515625" style="232" customWidth="1"/>
    <col min="1282" max="1282" width="57" style="232" customWidth="1"/>
    <col min="1283" max="1283" width="5" style="232" customWidth="1"/>
    <col min="1284" max="1284" width="7" style="232" customWidth="1"/>
    <col min="1285" max="1285" width="9.140625" style="232"/>
    <col min="1286" max="1286" width="13.28515625" style="232" customWidth="1"/>
    <col min="1287" max="1287" width="11.7109375" style="232" customWidth="1"/>
    <col min="1288" max="1536" width="9.140625" style="232"/>
    <col min="1537" max="1537" width="5.28515625" style="232" customWidth="1"/>
    <col min="1538" max="1538" width="57" style="232" customWidth="1"/>
    <col min="1539" max="1539" width="5" style="232" customWidth="1"/>
    <col min="1540" max="1540" width="7" style="232" customWidth="1"/>
    <col min="1541" max="1541" width="9.140625" style="232"/>
    <col min="1542" max="1542" width="13.28515625" style="232" customWidth="1"/>
    <col min="1543" max="1543" width="11.7109375" style="232" customWidth="1"/>
    <col min="1544" max="1792" width="9.140625" style="232"/>
    <col min="1793" max="1793" width="5.28515625" style="232" customWidth="1"/>
    <col min="1794" max="1794" width="57" style="232" customWidth="1"/>
    <col min="1795" max="1795" width="5" style="232" customWidth="1"/>
    <col min="1796" max="1796" width="7" style="232" customWidth="1"/>
    <col min="1797" max="1797" width="9.140625" style="232"/>
    <col min="1798" max="1798" width="13.28515625" style="232" customWidth="1"/>
    <col min="1799" max="1799" width="11.7109375" style="232" customWidth="1"/>
    <col min="1800" max="2048" width="9.140625" style="232"/>
    <col min="2049" max="2049" width="5.28515625" style="232" customWidth="1"/>
    <col min="2050" max="2050" width="57" style="232" customWidth="1"/>
    <col min="2051" max="2051" width="5" style="232" customWidth="1"/>
    <col min="2052" max="2052" width="7" style="232" customWidth="1"/>
    <col min="2053" max="2053" width="9.140625" style="232"/>
    <col min="2054" max="2054" width="13.28515625" style="232" customWidth="1"/>
    <col min="2055" max="2055" width="11.7109375" style="232" customWidth="1"/>
    <col min="2056" max="2304" width="9.140625" style="232"/>
    <col min="2305" max="2305" width="5.28515625" style="232" customWidth="1"/>
    <col min="2306" max="2306" width="57" style="232" customWidth="1"/>
    <col min="2307" max="2307" width="5" style="232" customWidth="1"/>
    <col min="2308" max="2308" width="7" style="232" customWidth="1"/>
    <col min="2309" max="2309" width="9.140625" style="232"/>
    <col min="2310" max="2310" width="13.28515625" style="232" customWidth="1"/>
    <col min="2311" max="2311" width="11.7109375" style="232" customWidth="1"/>
    <col min="2312" max="2560" width="9.140625" style="232"/>
    <col min="2561" max="2561" width="5.28515625" style="232" customWidth="1"/>
    <col min="2562" max="2562" width="57" style="232" customWidth="1"/>
    <col min="2563" max="2563" width="5" style="232" customWidth="1"/>
    <col min="2564" max="2564" width="7" style="232" customWidth="1"/>
    <col min="2565" max="2565" width="9.140625" style="232"/>
    <col min="2566" max="2566" width="13.28515625" style="232" customWidth="1"/>
    <col min="2567" max="2567" width="11.7109375" style="232" customWidth="1"/>
    <col min="2568" max="2816" width="9.140625" style="232"/>
    <col min="2817" max="2817" width="5.28515625" style="232" customWidth="1"/>
    <col min="2818" max="2818" width="57" style="232" customWidth="1"/>
    <col min="2819" max="2819" width="5" style="232" customWidth="1"/>
    <col min="2820" max="2820" width="7" style="232" customWidth="1"/>
    <col min="2821" max="2821" width="9.140625" style="232"/>
    <col min="2822" max="2822" width="13.28515625" style="232" customWidth="1"/>
    <col min="2823" max="2823" width="11.7109375" style="232" customWidth="1"/>
    <col min="2824" max="3072" width="9.140625" style="232"/>
    <col min="3073" max="3073" width="5.28515625" style="232" customWidth="1"/>
    <col min="3074" max="3074" width="57" style="232" customWidth="1"/>
    <col min="3075" max="3075" width="5" style="232" customWidth="1"/>
    <col min="3076" max="3076" width="7" style="232" customWidth="1"/>
    <col min="3077" max="3077" width="9.140625" style="232"/>
    <col min="3078" max="3078" width="13.28515625" style="232" customWidth="1"/>
    <col min="3079" max="3079" width="11.7109375" style="232" customWidth="1"/>
    <col min="3080" max="3328" width="9.140625" style="232"/>
    <col min="3329" max="3329" width="5.28515625" style="232" customWidth="1"/>
    <col min="3330" max="3330" width="57" style="232" customWidth="1"/>
    <col min="3331" max="3331" width="5" style="232" customWidth="1"/>
    <col min="3332" max="3332" width="7" style="232" customWidth="1"/>
    <col min="3333" max="3333" width="9.140625" style="232"/>
    <col min="3334" max="3334" width="13.28515625" style="232" customWidth="1"/>
    <col min="3335" max="3335" width="11.7109375" style="232" customWidth="1"/>
    <col min="3336" max="3584" width="9.140625" style="232"/>
    <col min="3585" max="3585" width="5.28515625" style="232" customWidth="1"/>
    <col min="3586" max="3586" width="57" style="232" customWidth="1"/>
    <col min="3587" max="3587" width="5" style="232" customWidth="1"/>
    <col min="3588" max="3588" width="7" style="232" customWidth="1"/>
    <col min="3589" max="3589" width="9.140625" style="232"/>
    <col min="3590" max="3590" width="13.28515625" style="232" customWidth="1"/>
    <col min="3591" max="3591" width="11.7109375" style="232" customWidth="1"/>
    <col min="3592" max="3840" width="9.140625" style="232"/>
    <col min="3841" max="3841" width="5.28515625" style="232" customWidth="1"/>
    <col min="3842" max="3842" width="57" style="232" customWidth="1"/>
    <col min="3843" max="3843" width="5" style="232" customWidth="1"/>
    <col min="3844" max="3844" width="7" style="232" customWidth="1"/>
    <col min="3845" max="3845" width="9.140625" style="232"/>
    <col min="3846" max="3846" width="13.28515625" style="232" customWidth="1"/>
    <col min="3847" max="3847" width="11.7109375" style="232" customWidth="1"/>
    <col min="3848" max="4096" width="9.140625" style="232"/>
    <col min="4097" max="4097" width="5.28515625" style="232" customWidth="1"/>
    <col min="4098" max="4098" width="57" style="232" customWidth="1"/>
    <col min="4099" max="4099" width="5" style="232" customWidth="1"/>
    <col min="4100" max="4100" width="7" style="232" customWidth="1"/>
    <col min="4101" max="4101" width="9.140625" style="232"/>
    <col min="4102" max="4102" width="13.28515625" style="232" customWidth="1"/>
    <col min="4103" max="4103" width="11.7109375" style="232" customWidth="1"/>
    <col min="4104" max="4352" width="9.140625" style="232"/>
    <col min="4353" max="4353" width="5.28515625" style="232" customWidth="1"/>
    <col min="4354" max="4354" width="57" style="232" customWidth="1"/>
    <col min="4355" max="4355" width="5" style="232" customWidth="1"/>
    <col min="4356" max="4356" width="7" style="232" customWidth="1"/>
    <col min="4357" max="4357" width="9.140625" style="232"/>
    <col min="4358" max="4358" width="13.28515625" style="232" customWidth="1"/>
    <col min="4359" max="4359" width="11.7109375" style="232" customWidth="1"/>
    <col min="4360" max="4608" width="9.140625" style="232"/>
    <col min="4609" max="4609" width="5.28515625" style="232" customWidth="1"/>
    <col min="4610" max="4610" width="57" style="232" customWidth="1"/>
    <col min="4611" max="4611" width="5" style="232" customWidth="1"/>
    <col min="4612" max="4612" width="7" style="232" customWidth="1"/>
    <col min="4613" max="4613" width="9.140625" style="232"/>
    <col min="4614" max="4614" width="13.28515625" style="232" customWidth="1"/>
    <col min="4615" max="4615" width="11.7109375" style="232" customWidth="1"/>
    <col min="4616" max="4864" width="9.140625" style="232"/>
    <col min="4865" max="4865" width="5.28515625" style="232" customWidth="1"/>
    <col min="4866" max="4866" width="57" style="232" customWidth="1"/>
    <col min="4867" max="4867" width="5" style="232" customWidth="1"/>
    <col min="4868" max="4868" width="7" style="232" customWidth="1"/>
    <col min="4869" max="4869" width="9.140625" style="232"/>
    <col min="4870" max="4870" width="13.28515625" style="232" customWidth="1"/>
    <col min="4871" max="4871" width="11.7109375" style="232" customWidth="1"/>
    <col min="4872" max="5120" width="9.140625" style="232"/>
    <col min="5121" max="5121" width="5.28515625" style="232" customWidth="1"/>
    <col min="5122" max="5122" width="57" style="232" customWidth="1"/>
    <col min="5123" max="5123" width="5" style="232" customWidth="1"/>
    <col min="5124" max="5124" width="7" style="232" customWidth="1"/>
    <col min="5125" max="5125" width="9.140625" style="232"/>
    <col min="5126" max="5126" width="13.28515625" style="232" customWidth="1"/>
    <col min="5127" max="5127" width="11.7109375" style="232" customWidth="1"/>
    <col min="5128" max="5376" width="9.140625" style="232"/>
    <col min="5377" max="5377" width="5.28515625" style="232" customWidth="1"/>
    <col min="5378" max="5378" width="57" style="232" customWidth="1"/>
    <col min="5379" max="5379" width="5" style="232" customWidth="1"/>
    <col min="5380" max="5380" width="7" style="232" customWidth="1"/>
    <col min="5381" max="5381" width="9.140625" style="232"/>
    <col min="5382" max="5382" width="13.28515625" style="232" customWidth="1"/>
    <col min="5383" max="5383" width="11.7109375" style="232" customWidth="1"/>
    <col min="5384" max="5632" width="9.140625" style="232"/>
    <col min="5633" max="5633" width="5.28515625" style="232" customWidth="1"/>
    <col min="5634" max="5634" width="57" style="232" customWidth="1"/>
    <col min="5635" max="5635" width="5" style="232" customWidth="1"/>
    <col min="5636" max="5636" width="7" style="232" customWidth="1"/>
    <col min="5637" max="5637" width="9.140625" style="232"/>
    <col min="5638" max="5638" width="13.28515625" style="232" customWidth="1"/>
    <col min="5639" max="5639" width="11.7109375" style="232" customWidth="1"/>
    <col min="5640" max="5888" width="9.140625" style="232"/>
    <col min="5889" max="5889" width="5.28515625" style="232" customWidth="1"/>
    <col min="5890" max="5890" width="57" style="232" customWidth="1"/>
    <col min="5891" max="5891" width="5" style="232" customWidth="1"/>
    <col min="5892" max="5892" width="7" style="232" customWidth="1"/>
    <col min="5893" max="5893" width="9.140625" style="232"/>
    <col min="5894" max="5894" width="13.28515625" style="232" customWidth="1"/>
    <col min="5895" max="5895" width="11.7109375" style="232" customWidth="1"/>
    <col min="5896" max="6144" width="9.140625" style="232"/>
    <col min="6145" max="6145" width="5.28515625" style="232" customWidth="1"/>
    <col min="6146" max="6146" width="57" style="232" customWidth="1"/>
    <col min="6147" max="6147" width="5" style="232" customWidth="1"/>
    <col min="6148" max="6148" width="7" style="232" customWidth="1"/>
    <col min="6149" max="6149" width="9.140625" style="232"/>
    <col min="6150" max="6150" width="13.28515625" style="232" customWidth="1"/>
    <col min="6151" max="6151" width="11.7109375" style="232" customWidth="1"/>
    <col min="6152" max="6400" width="9.140625" style="232"/>
    <col min="6401" max="6401" width="5.28515625" style="232" customWidth="1"/>
    <col min="6402" max="6402" width="57" style="232" customWidth="1"/>
    <col min="6403" max="6403" width="5" style="232" customWidth="1"/>
    <col min="6404" max="6404" width="7" style="232" customWidth="1"/>
    <col min="6405" max="6405" width="9.140625" style="232"/>
    <col min="6406" max="6406" width="13.28515625" style="232" customWidth="1"/>
    <col min="6407" max="6407" width="11.7109375" style="232" customWidth="1"/>
    <col min="6408" max="6656" width="9.140625" style="232"/>
    <col min="6657" max="6657" width="5.28515625" style="232" customWidth="1"/>
    <col min="6658" max="6658" width="57" style="232" customWidth="1"/>
    <col min="6659" max="6659" width="5" style="232" customWidth="1"/>
    <col min="6660" max="6660" width="7" style="232" customWidth="1"/>
    <col min="6661" max="6661" width="9.140625" style="232"/>
    <col min="6662" max="6662" width="13.28515625" style="232" customWidth="1"/>
    <col min="6663" max="6663" width="11.7109375" style="232" customWidth="1"/>
    <col min="6664" max="6912" width="9.140625" style="232"/>
    <col min="6913" max="6913" width="5.28515625" style="232" customWidth="1"/>
    <col min="6914" max="6914" width="57" style="232" customWidth="1"/>
    <col min="6915" max="6915" width="5" style="232" customWidth="1"/>
    <col min="6916" max="6916" width="7" style="232" customWidth="1"/>
    <col min="6917" max="6917" width="9.140625" style="232"/>
    <col min="6918" max="6918" width="13.28515625" style="232" customWidth="1"/>
    <col min="6919" max="6919" width="11.7109375" style="232" customWidth="1"/>
    <col min="6920" max="7168" width="9.140625" style="232"/>
    <col min="7169" max="7169" width="5.28515625" style="232" customWidth="1"/>
    <col min="7170" max="7170" width="57" style="232" customWidth="1"/>
    <col min="7171" max="7171" width="5" style="232" customWidth="1"/>
    <col min="7172" max="7172" width="7" style="232" customWidth="1"/>
    <col min="7173" max="7173" width="9.140625" style="232"/>
    <col min="7174" max="7174" width="13.28515625" style="232" customWidth="1"/>
    <col min="7175" max="7175" width="11.7109375" style="232" customWidth="1"/>
    <col min="7176" max="7424" width="9.140625" style="232"/>
    <col min="7425" max="7425" width="5.28515625" style="232" customWidth="1"/>
    <col min="7426" max="7426" width="57" style="232" customWidth="1"/>
    <col min="7427" max="7427" width="5" style="232" customWidth="1"/>
    <col min="7428" max="7428" width="7" style="232" customWidth="1"/>
    <col min="7429" max="7429" width="9.140625" style="232"/>
    <col min="7430" max="7430" width="13.28515625" style="232" customWidth="1"/>
    <col min="7431" max="7431" width="11.7109375" style="232" customWidth="1"/>
    <col min="7432" max="7680" width="9.140625" style="232"/>
    <col min="7681" max="7681" width="5.28515625" style="232" customWidth="1"/>
    <col min="7682" max="7682" width="57" style="232" customWidth="1"/>
    <col min="7683" max="7683" width="5" style="232" customWidth="1"/>
    <col min="7684" max="7684" width="7" style="232" customWidth="1"/>
    <col min="7685" max="7685" width="9.140625" style="232"/>
    <col min="7686" max="7686" width="13.28515625" style="232" customWidth="1"/>
    <col min="7687" max="7687" width="11.7109375" style="232" customWidth="1"/>
    <col min="7688" max="7936" width="9.140625" style="232"/>
    <col min="7937" max="7937" width="5.28515625" style="232" customWidth="1"/>
    <col min="7938" max="7938" width="57" style="232" customWidth="1"/>
    <col min="7939" max="7939" width="5" style="232" customWidth="1"/>
    <col min="7940" max="7940" width="7" style="232" customWidth="1"/>
    <col min="7941" max="7941" width="9.140625" style="232"/>
    <col min="7942" max="7942" width="13.28515625" style="232" customWidth="1"/>
    <col min="7943" max="7943" width="11.7109375" style="232" customWidth="1"/>
    <col min="7944" max="8192" width="9.140625" style="232"/>
    <col min="8193" max="8193" width="5.28515625" style="232" customWidth="1"/>
    <col min="8194" max="8194" width="57" style="232" customWidth="1"/>
    <col min="8195" max="8195" width="5" style="232" customWidth="1"/>
    <col min="8196" max="8196" width="7" style="232" customWidth="1"/>
    <col min="8197" max="8197" width="9.140625" style="232"/>
    <col min="8198" max="8198" width="13.28515625" style="232" customWidth="1"/>
    <col min="8199" max="8199" width="11.7109375" style="232" customWidth="1"/>
    <col min="8200" max="8448" width="9.140625" style="232"/>
    <col min="8449" max="8449" width="5.28515625" style="232" customWidth="1"/>
    <col min="8450" max="8450" width="57" style="232" customWidth="1"/>
    <col min="8451" max="8451" width="5" style="232" customWidth="1"/>
    <col min="8452" max="8452" width="7" style="232" customWidth="1"/>
    <col min="8453" max="8453" width="9.140625" style="232"/>
    <col min="8454" max="8454" width="13.28515625" style="232" customWidth="1"/>
    <col min="8455" max="8455" width="11.7109375" style="232" customWidth="1"/>
    <col min="8456" max="8704" width="9.140625" style="232"/>
    <col min="8705" max="8705" width="5.28515625" style="232" customWidth="1"/>
    <col min="8706" max="8706" width="57" style="232" customWidth="1"/>
    <col min="8707" max="8707" width="5" style="232" customWidth="1"/>
    <col min="8708" max="8708" width="7" style="232" customWidth="1"/>
    <col min="8709" max="8709" width="9.140625" style="232"/>
    <col min="8710" max="8710" width="13.28515625" style="232" customWidth="1"/>
    <col min="8711" max="8711" width="11.7109375" style="232" customWidth="1"/>
    <col min="8712" max="8960" width="9.140625" style="232"/>
    <col min="8961" max="8961" width="5.28515625" style="232" customWidth="1"/>
    <col min="8962" max="8962" width="57" style="232" customWidth="1"/>
    <col min="8963" max="8963" width="5" style="232" customWidth="1"/>
    <col min="8964" max="8964" width="7" style="232" customWidth="1"/>
    <col min="8965" max="8965" width="9.140625" style="232"/>
    <col min="8966" max="8966" width="13.28515625" style="232" customWidth="1"/>
    <col min="8967" max="8967" width="11.7109375" style="232" customWidth="1"/>
    <col min="8968" max="9216" width="9.140625" style="232"/>
    <col min="9217" max="9217" width="5.28515625" style="232" customWidth="1"/>
    <col min="9218" max="9218" width="57" style="232" customWidth="1"/>
    <col min="9219" max="9219" width="5" style="232" customWidth="1"/>
    <col min="9220" max="9220" width="7" style="232" customWidth="1"/>
    <col min="9221" max="9221" width="9.140625" style="232"/>
    <col min="9222" max="9222" width="13.28515625" style="232" customWidth="1"/>
    <col min="9223" max="9223" width="11.7109375" style="232" customWidth="1"/>
    <col min="9224" max="9472" width="9.140625" style="232"/>
    <col min="9473" max="9473" width="5.28515625" style="232" customWidth="1"/>
    <col min="9474" max="9474" width="57" style="232" customWidth="1"/>
    <col min="9475" max="9475" width="5" style="232" customWidth="1"/>
    <col min="9476" max="9476" width="7" style="232" customWidth="1"/>
    <col min="9477" max="9477" width="9.140625" style="232"/>
    <col min="9478" max="9478" width="13.28515625" style="232" customWidth="1"/>
    <col min="9479" max="9479" width="11.7109375" style="232" customWidth="1"/>
    <col min="9480" max="9728" width="9.140625" style="232"/>
    <col min="9729" max="9729" width="5.28515625" style="232" customWidth="1"/>
    <col min="9730" max="9730" width="57" style="232" customWidth="1"/>
    <col min="9731" max="9731" width="5" style="232" customWidth="1"/>
    <col min="9732" max="9732" width="7" style="232" customWidth="1"/>
    <col min="9733" max="9733" width="9.140625" style="232"/>
    <col min="9734" max="9734" width="13.28515625" style="232" customWidth="1"/>
    <col min="9735" max="9735" width="11.7109375" style="232" customWidth="1"/>
    <col min="9736" max="9984" width="9.140625" style="232"/>
    <col min="9985" max="9985" width="5.28515625" style="232" customWidth="1"/>
    <col min="9986" max="9986" width="57" style="232" customWidth="1"/>
    <col min="9987" max="9987" width="5" style="232" customWidth="1"/>
    <col min="9988" max="9988" width="7" style="232" customWidth="1"/>
    <col min="9989" max="9989" width="9.140625" style="232"/>
    <col min="9990" max="9990" width="13.28515625" style="232" customWidth="1"/>
    <col min="9991" max="9991" width="11.7109375" style="232" customWidth="1"/>
    <col min="9992" max="10240" width="9.140625" style="232"/>
    <col min="10241" max="10241" width="5.28515625" style="232" customWidth="1"/>
    <col min="10242" max="10242" width="57" style="232" customWidth="1"/>
    <col min="10243" max="10243" width="5" style="232" customWidth="1"/>
    <col min="10244" max="10244" width="7" style="232" customWidth="1"/>
    <col min="10245" max="10245" width="9.140625" style="232"/>
    <col min="10246" max="10246" width="13.28515625" style="232" customWidth="1"/>
    <col min="10247" max="10247" width="11.7109375" style="232" customWidth="1"/>
    <col min="10248" max="10496" width="9.140625" style="232"/>
    <col min="10497" max="10497" width="5.28515625" style="232" customWidth="1"/>
    <col min="10498" max="10498" width="57" style="232" customWidth="1"/>
    <col min="10499" max="10499" width="5" style="232" customWidth="1"/>
    <col min="10500" max="10500" width="7" style="232" customWidth="1"/>
    <col min="10501" max="10501" width="9.140625" style="232"/>
    <col min="10502" max="10502" width="13.28515625" style="232" customWidth="1"/>
    <col min="10503" max="10503" width="11.7109375" style="232" customWidth="1"/>
    <col min="10504" max="10752" width="9.140625" style="232"/>
    <col min="10753" max="10753" width="5.28515625" style="232" customWidth="1"/>
    <col min="10754" max="10754" width="57" style="232" customWidth="1"/>
    <col min="10755" max="10755" width="5" style="232" customWidth="1"/>
    <col min="10756" max="10756" width="7" style="232" customWidth="1"/>
    <col min="10757" max="10757" width="9.140625" style="232"/>
    <col min="10758" max="10758" width="13.28515625" style="232" customWidth="1"/>
    <col min="10759" max="10759" width="11.7109375" style="232" customWidth="1"/>
    <col min="10760" max="11008" width="9.140625" style="232"/>
    <col min="11009" max="11009" width="5.28515625" style="232" customWidth="1"/>
    <col min="11010" max="11010" width="57" style="232" customWidth="1"/>
    <col min="11011" max="11011" width="5" style="232" customWidth="1"/>
    <col min="11012" max="11012" width="7" style="232" customWidth="1"/>
    <col min="11013" max="11013" width="9.140625" style="232"/>
    <col min="11014" max="11014" width="13.28515625" style="232" customWidth="1"/>
    <col min="11015" max="11015" width="11.7109375" style="232" customWidth="1"/>
    <col min="11016" max="11264" width="9.140625" style="232"/>
    <col min="11265" max="11265" width="5.28515625" style="232" customWidth="1"/>
    <col min="11266" max="11266" width="57" style="232" customWidth="1"/>
    <col min="11267" max="11267" width="5" style="232" customWidth="1"/>
    <col min="11268" max="11268" width="7" style="232" customWidth="1"/>
    <col min="11269" max="11269" width="9.140625" style="232"/>
    <col min="11270" max="11270" width="13.28515625" style="232" customWidth="1"/>
    <col min="11271" max="11271" width="11.7109375" style="232" customWidth="1"/>
    <col min="11272" max="11520" width="9.140625" style="232"/>
    <col min="11521" max="11521" width="5.28515625" style="232" customWidth="1"/>
    <col min="11522" max="11522" width="57" style="232" customWidth="1"/>
    <col min="11523" max="11523" width="5" style="232" customWidth="1"/>
    <col min="11524" max="11524" width="7" style="232" customWidth="1"/>
    <col min="11525" max="11525" width="9.140625" style="232"/>
    <col min="11526" max="11526" width="13.28515625" style="232" customWidth="1"/>
    <col min="11527" max="11527" width="11.7109375" style="232" customWidth="1"/>
    <col min="11528" max="11776" width="9.140625" style="232"/>
    <col min="11777" max="11777" width="5.28515625" style="232" customWidth="1"/>
    <col min="11778" max="11778" width="57" style="232" customWidth="1"/>
    <col min="11779" max="11779" width="5" style="232" customWidth="1"/>
    <col min="11780" max="11780" width="7" style="232" customWidth="1"/>
    <col min="11781" max="11781" width="9.140625" style="232"/>
    <col min="11782" max="11782" width="13.28515625" style="232" customWidth="1"/>
    <col min="11783" max="11783" width="11.7109375" style="232" customWidth="1"/>
    <col min="11784" max="12032" width="9.140625" style="232"/>
    <col min="12033" max="12033" width="5.28515625" style="232" customWidth="1"/>
    <col min="12034" max="12034" width="57" style="232" customWidth="1"/>
    <col min="12035" max="12035" width="5" style="232" customWidth="1"/>
    <col min="12036" max="12036" width="7" style="232" customWidth="1"/>
    <col min="12037" max="12037" width="9.140625" style="232"/>
    <col min="12038" max="12038" width="13.28515625" style="232" customWidth="1"/>
    <col min="12039" max="12039" width="11.7109375" style="232" customWidth="1"/>
    <col min="12040" max="12288" width="9.140625" style="232"/>
    <col min="12289" max="12289" width="5.28515625" style="232" customWidth="1"/>
    <col min="12290" max="12290" width="57" style="232" customWidth="1"/>
    <col min="12291" max="12291" width="5" style="232" customWidth="1"/>
    <col min="12292" max="12292" width="7" style="232" customWidth="1"/>
    <col min="12293" max="12293" width="9.140625" style="232"/>
    <col min="12294" max="12294" width="13.28515625" style="232" customWidth="1"/>
    <col min="12295" max="12295" width="11.7109375" style="232" customWidth="1"/>
    <col min="12296" max="12544" width="9.140625" style="232"/>
    <col min="12545" max="12545" width="5.28515625" style="232" customWidth="1"/>
    <col min="12546" max="12546" width="57" style="232" customWidth="1"/>
    <col min="12547" max="12547" width="5" style="232" customWidth="1"/>
    <col min="12548" max="12548" width="7" style="232" customWidth="1"/>
    <col min="12549" max="12549" width="9.140625" style="232"/>
    <col min="12550" max="12550" width="13.28515625" style="232" customWidth="1"/>
    <col min="12551" max="12551" width="11.7109375" style="232" customWidth="1"/>
    <col min="12552" max="12800" width="9.140625" style="232"/>
    <col min="12801" max="12801" width="5.28515625" style="232" customWidth="1"/>
    <col min="12802" max="12802" width="57" style="232" customWidth="1"/>
    <col min="12803" max="12803" width="5" style="232" customWidth="1"/>
    <col min="12804" max="12804" width="7" style="232" customWidth="1"/>
    <col min="12805" max="12805" width="9.140625" style="232"/>
    <col min="12806" max="12806" width="13.28515625" style="232" customWidth="1"/>
    <col min="12807" max="12807" width="11.7109375" style="232" customWidth="1"/>
    <col min="12808" max="13056" width="9.140625" style="232"/>
    <col min="13057" max="13057" width="5.28515625" style="232" customWidth="1"/>
    <col min="13058" max="13058" width="57" style="232" customWidth="1"/>
    <col min="13059" max="13059" width="5" style="232" customWidth="1"/>
    <col min="13060" max="13060" width="7" style="232" customWidth="1"/>
    <col min="13061" max="13061" width="9.140625" style="232"/>
    <col min="13062" max="13062" width="13.28515625" style="232" customWidth="1"/>
    <col min="13063" max="13063" width="11.7109375" style="232" customWidth="1"/>
    <col min="13064" max="13312" width="9.140625" style="232"/>
    <col min="13313" max="13313" width="5.28515625" style="232" customWidth="1"/>
    <col min="13314" max="13314" width="57" style="232" customWidth="1"/>
    <col min="13315" max="13315" width="5" style="232" customWidth="1"/>
    <col min="13316" max="13316" width="7" style="232" customWidth="1"/>
    <col min="13317" max="13317" width="9.140625" style="232"/>
    <col min="13318" max="13318" width="13.28515625" style="232" customWidth="1"/>
    <col min="13319" max="13319" width="11.7109375" style="232" customWidth="1"/>
    <col min="13320" max="13568" width="9.140625" style="232"/>
    <col min="13569" max="13569" width="5.28515625" style="232" customWidth="1"/>
    <col min="13570" max="13570" width="57" style="232" customWidth="1"/>
    <col min="13571" max="13571" width="5" style="232" customWidth="1"/>
    <col min="13572" max="13572" width="7" style="232" customWidth="1"/>
    <col min="13573" max="13573" width="9.140625" style="232"/>
    <col min="13574" max="13574" width="13.28515625" style="232" customWidth="1"/>
    <col min="13575" max="13575" width="11.7109375" style="232" customWidth="1"/>
    <col min="13576" max="13824" width="9.140625" style="232"/>
    <col min="13825" max="13825" width="5.28515625" style="232" customWidth="1"/>
    <col min="13826" max="13826" width="57" style="232" customWidth="1"/>
    <col min="13827" max="13827" width="5" style="232" customWidth="1"/>
    <col min="13828" max="13828" width="7" style="232" customWidth="1"/>
    <col min="13829" max="13829" width="9.140625" style="232"/>
    <col min="13830" max="13830" width="13.28515625" style="232" customWidth="1"/>
    <col min="13831" max="13831" width="11.7109375" style="232" customWidth="1"/>
    <col min="13832" max="14080" width="9.140625" style="232"/>
    <col min="14081" max="14081" width="5.28515625" style="232" customWidth="1"/>
    <col min="14082" max="14082" width="57" style="232" customWidth="1"/>
    <col min="14083" max="14083" width="5" style="232" customWidth="1"/>
    <col min="14084" max="14084" width="7" style="232" customWidth="1"/>
    <col min="14085" max="14085" width="9.140625" style="232"/>
    <col min="14086" max="14086" width="13.28515625" style="232" customWidth="1"/>
    <col min="14087" max="14087" width="11.7109375" style="232" customWidth="1"/>
    <col min="14088" max="14336" width="9.140625" style="232"/>
    <col min="14337" max="14337" width="5.28515625" style="232" customWidth="1"/>
    <col min="14338" max="14338" width="57" style="232" customWidth="1"/>
    <col min="14339" max="14339" width="5" style="232" customWidth="1"/>
    <col min="14340" max="14340" width="7" style="232" customWidth="1"/>
    <col min="14341" max="14341" width="9.140625" style="232"/>
    <col min="14342" max="14342" width="13.28515625" style="232" customWidth="1"/>
    <col min="14343" max="14343" width="11.7109375" style="232" customWidth="1"/>
    <col min="14344" max="14592" width="9.140625" style="232"/>
    <col min="14593" max="14593" width="5.28515625" style="232" customWidth="1"/>
    <col min="14594" max="14594" width="57" style="232" customWidth="1"/>
    <col min="14595" max="14595" width="5" style="232" customWidth="1"/>
    <col min="14596" max="14596" width="7" style="232" customWidth="1"/>
    <col min="14597" max="14597" width="9.140625" style="232"/>
    <col min="14598" max="14598" width="13.28515625" style="232" customWidth="1"/>
    <col min="14599" max="14599" width="11.7109375" style="232" customWidth="1"/>
    <col min="14600" max="14848" width="9.140625" style="232"/>
    <col min="14849" max="14849" width="5.28515625" style="232" customWidth="1"/>
    <col min="14850" max="14850" width="57" style="232" customWidth="1"/>
    <col min="14851" max="14851" width="5" style="232" customWidth="1"/>
    <col min="14852" max="14852" width="7" style="232" customWidth="1"/>
    <col min="14853" max="14853" width="9.140625" style="232"/>
    <col min="14854" max="14854" width="13.28515625" style="232" customWidth="1"/>
    <col min="14855" max="14855" width="11.7109375" style="232" customWidth="1"/>
    <col min="14856" max="15104" width="9.140625" style="232"/>
    <col min="15105" max="15105" width="5.28515625" style="232" customWidth="1"/>
    <col min="15106" max="15106" width="57" style="232" customWidth="1"/>
    <col min="15107" max="15107" width="5" style="232" customWidth="1"/>
    <col min="15108" max="15108" width="7" style="232" customWidth="1"/>
    <col min="15109" max="15109" width="9.140625" style="232"/>
    <col min="15110" max="15110" width="13.28515625" style="232" customWidth="1"/>
    <col min="15111" max="15111" width="11.7109375" style="232" customWidth="1"/>
    <col min="15112" max="15360" width="9.140625" style="232"/>
    <col min="15361" max="15361" width="5.28515625" style="232" customWidth="1"/>
    <col min="15362" max="15362" width="57" style="232" customWidth="1"/>
    <col min="15363" max="15363" width="5" style="232" customWidth="1"/>
    <col min="15364" max="15364" width="7" style="232" customWidth="1"/>
    <col min="15365" max="15365" width="9.140625" style="232"/>
    <col min="15366" max="15366" width="13.28515625" style="232" customWidth="1"/>
    <col min="15367" max="15367" width="11.7109375" style="232" customWidth="1"/>
    <col min="15368" max="15616" width="9.140625" style="232"/>
    <col min="15617" max="15617" width="5.28515625" style="232" customWidth="1"/>
    <col min="15618" max="15618" width="57" style="232" customWidth="1"/>
    <col min="15619" max="15619" width="5" style="232" customWidth="1"/>
    <col min="15620" max="15620" width="7" style="232" customWidth="1"/>
    <col min="15621" max="15621" width="9.140625" style="232"/>
    <col min="15622" max="15622" width="13.28515625" style="232" customWidth="1"/>
    <col min="15623" max="15623" width="11.7109375" style="232" customWidth="1"/>
    <col min="15624" max="15872" width="9.140625" style="232"/>
    <col min="15873" max="15873" width="5.28515625" style="232" customWidth="1"/>
    <col min="15874" max="15874" width="57" style="232" customWidth="1"/>
    <col min="15875" max="15875" width="5" style="232" customWidth="1"/>
    <col min="15876" max="15876" width="7" style="232" customWidth="1"/>
    <col min="15877" max="15877" width="9.140625" style="232"/>
    <col min="15878" max="15878" width="13.28515625" style="232" customWidth="1"/>
    <col min="15879" max="15879" width="11.7109375" style="232" customWidth="1"/>
    <col min="15880" max="16128" width="9.140625" style="232"/>
    <col min="16129" max="16129" width="5.28515625" style="232" customWidth="1"/>
    <col min="16130" max="16130" width="57" style="232" customWidth="1"/>
    <col min="16131" max="16131" width="5" style="232" customWidth="1"/>
    <col min="16132" max="16132" width="7" style="232" customWidth="1"/>
    <col min="16133" max="16133" width="9.140625" style="232"/>
    <col min="16134" max="16134" width="13.28515625" style="232" customWidth="1"/>
    <col min="16135" max="16135" width="11.7109375" style="232" customWidth="1"/>
    <col min="16136" max="16384" width="9.140625" style="232"/>
  </cols>
  <sheetData>
    <row r="1" spans="1:12" customFormat="1" ht="24.95" customHeight="1" x14ac:dyDescent="0.2">
      <c r="A1" s="899" t="s">
        <v>858</v>
      </c>
      <c r="B1" s="899"/>
      <c r="C1" s="899"/>
      <c r="D1" s="899"/>
      <c r="E1" s="899"/>
      <c r="F1" s="899"/>
      <c r="G1" s="899"/>
      <c r="H1" s="899"/>
      <c r="I1" s="899"/>
      <c r="J1" s="899"/>
      <c r="K1" s="899"/>
      <c r="L1" s="899"/>
    </row>
    <row r="2" spans="1:12" customFormat="1" ht="24.95" customHeight="1" x14ac:dyDescent="0.2">
      <c r="A2" s="900" t="s">
        <v>774</v>
      </c>
      <c r="B2" s="900"/>
      <c r="C2" s="900"/>
      <c r="D2" s="900"/>
      <c r="E2" s="900"/>
      <c r="F2" s="900"/>
      <c r="G2" s="900"/>
      <c r="H2" s="900"/>
      <c r="I2" s="900"/>
      <c r="J2" s="900"/>
      <c r="K2" s="900"/>
      <c r="L2" s="900"/>
    </row>
    <row r="3" spans="1:12" customFormat="1" ht="20.100000000000001" customHeight="1" x14ac:dyDescent="0.2">
      <c r="A3" s="536" t="s">
        <v>303</v>
      </c>
      <c r="B3" s="448" t="s">
        <v>302</v>
      </c>
      <c r="C3" s="448" t="s">
        <v>301</v>
      </c>
      <c r="D3" s="448" t="s">
        <v>300</v>
      </c>
      <c r="E3" s="448" t="s">
        <v>298</v>
      </c>
      <c r="F3" s="448" t="s">
        <v>297</v>
      </c>
      <c r="G3" s="448" t="s">
        <v>415</v>
      </c>
      <c r="H3" s="448" t="s">
        <v>47</v>
      </c>
      <c r="I3" s="448" t="s">
        <v>296</v>
      </c>
      <c r="J3" s="448" t="s">
        <v>21</v>
      </c>
      <c r="K3" s="448" t="s">
        <v>22</v>
      </c>
      <c r="L3" s="448" t="s">
        <v>295</v>
      </c>
    </row>
    <row r="4" spans="1:12" ht="17.100000000000001" customHeight="1" x14ac:dyDescent="0.2">
      <c r="A4" s="226"/>
      <c r="B4" s="553"/>
      <c r="C4" s="226"/>
      <c r="D4" s="283"/>
      <c r="E4" s="293"/>
      <c r="F4" s="281"/>
      <c r="G4" s="266"/>
      <c r="H4" s="540"/>
      <c r="I4" s="540"/>
      <c r="J4" s="543"/>
      <c r="K4" s="226"/>
      <c r="L4" s="540"/>
    </row>
    <row r="5" spans="1:12" ht="66.75" customHeight="1" x14ac:dyDescent="0.2">
      <c r="A5" s="537" t="s">
        <v>760</v>
      </c>
      <c r="B5" s="693" t="s">
        <v>765</v>
      </c>
      <c r="C5" s="695"/>
      <c r="D5" s="283"/>
      <c r="E5" s="293"/>
      <c r="F5" s="281"/>
      <c r="G5" s="266"/>
      <c r="H5" s="540"/>
      <c r="I5" s="540"/>
      <c r="J5" s="543"/>
      <c r="K5" s="226"/>
      <c r="L5" s="540"/>
    </row>
    <row r="6" spans="1:12" ht="17.100000000000001" customHeight="1" x14ac:dyDescent="0.2">
      <c r="A6" s="222" t="s">
        <v>6</v>
      </c>
      <c r="B6" s="613" t="s">
        <v>761</v>
      </c>
      <c r="C6" s="648" t="s">
        <v>416</v>
      </c>
      <c r="D6" s="449">
        <f>J12</f>
        <v>0.47238399999999997</v>
      </c>
      <c r="E6" s="255"/>
      <c r="F6" s="258"/>
      <c r="G6" s="339"/>
      <c r="H6" s="258"/>
      <c r="I6" s="258"/>
      <c r="J6" s="222"/>
      <c r="K6" s="258"/>
      <c r="L6" s="453"/>
    </row>
    <row r="7" spans="1:12" ht="17.100000000000001" customHeight="1" x14ac:dyDescent="0.2">
      <c r="A7" s="222"/>
      <c r="B7" s="261" t="s">
        <v>766</v>
      </c>
      <c r="C7" s="491" t="s">
        <v>33</v>
      </c>
      <c r="D7" s="254"/>
      <c r="E7" s="255"/>
      <c r="F7" s="255">
        <v>0.09</v>
      </c>
      <c r="G7" s="339"/>
      <c r="H7" s="258"/>
      <c r="I7" s="258"/>
      <c r="J7" s="222"/>
      <c r="K7" s="258"/>
      <c r="L7" s="493" t="s">
        <v>490</v>
      </c>
    </row>
    <row r="8" spans="1:12" ht="17.100000000000001" customHeight="1" x14ac:dyDescent="0.2">
      <c r="A8" s="222"/>
      <c r="B8" s="261" t="s">
        <v>767</v>
      </c>
      <c r="C8" s="491" t="s">
        <v>33</v>
      </c>
      <c r="D8" s="254"/>
      <c r="E8" s="255"/>
      <c r="F8" s="255">
        <v>0.88</v>
      </c>
      <c r="G8" s="452"/>
      <c r="H8" s="258"/>
      <c r="I8" s="258"/>
      <c r="J8" s="222"/>
      <c r="K8" s="258"/>
      <c r="L8" s="651"/>
    </row>
    <row r="9" spans="1:12" ht="17.100000000000001" customHeight="1" x14ac:dyDescent="0.2">
      <c r="A9" s="611"/>
      <c r="B9" s="261" t="s">
        <v>768</v>
      </c>
      <c r="C9" s="491" t="s">
        <v>33</v>
      </c>
      <c r="D9" s="254"/>
      <c r="E9" s="255"/>
      <c r="F9" s="255">
        <v>0.88</v>
      </c>
      <c r="G9" s="452"/>
      <c r="H9" s="258"/>
      <c r="I9" s="258"/>
      <c r="J9" s="222"/>
      <c r="K9" s="258"/>
      <c r="L9" s="651"/>
    </row>
    <row r="10" spans="1:12" ht="17.100000000000001" customHeight="1" x14ac:dyDescent="0.2">
      <c r="A10" s="611"/>
      <c r="B10" s="261" t="s">
        <v>762</v>
      </c>
      <c r="C10" s="491" t="s">
        <v>33</v>
      </c>
      <c r="D10" s="254"/>
      <c r="E10" s="255"/>
      <c r="F10" s="255"/>
      <c r="G10" s="452">
        <v>0.61</v>
      </c>
      <c r="H10" s="258"/>
      <c r="I10" s="258"/>
      <c r="J10" s="222"/>
      <c r="K10" s="258"/>
      <c r="L10" s="248"/>
    </row>
    <row r="11" spans="1:12" ht="17.100000000000001" customHeight="1" x14ac:dyDescent="0.2">
      <c r="A11" s="611"/>
      <c r="B11" s="261" t="s">
        <v>763</v>
      </c>
      <c r="C11" s="648" t="s">
        <v>35</v>
      </c>
      <c r="D11" s="254">
        <f>F8*F9</f>
        <v>0.77439999999999998</v>
      </c>
      <c r="E11" s="255"/>
      <c r="F11" s="255"/>
      <c r="G11" s="452"/>
      <c r="H11" s="258"/>
      <c r="I11" s="258"/>
      <c r="J11" s="222"/>
      <c r="K11" s="258"/>
      <c r="L11" s="453" t="s">
        <v>769</v>
      </c>
    </row>
    <row r="12" spans="1:12" ht="17.100000000000001" customHeight="1" x14ac:dyDescent="0.2">
      <c r="A12" s="647"/>
      <c r="B12" s="612" t="s">
        <v>764</v>
      </c>
      <c r="C12" s="648" t="s">
        <v>416</v>
      </c>
      <c r="D12" s="374"/>
      <c r="E12" s="632"/>
      <c r="F12" s="632"/>
      <c r="G12" s="649"/>
      <c r="H12" s="650"/>
      <c r="I12" s="650"/>
      <c r="J12" s="696">
        <f>D11*G10</f>
        <v>0.47238399999999997</v>
      </c>
      <c r="K12" s="648" t="s">
        <v>416</v>
      </c>
      <c r="L12" s="613"/>
    </row>
    <row r="13" spans="1:12" ht="17.100000000000001" customHeight="1" x14ac:dyDescent="0.2">
      <c r="A13" s="647"/>
      <c r="B13" s="261"/>
      <c r="C13" s="648"/>
      <c r="D13" s="374"/>
      <c r="E13" s="632"/>
      <c r="F13" s="632"/>
      <c r="G13" s="649"/>
      <c r="H13" s="650"/>
      <c r="I13" s="650"/>
      <c r="J13" s="696"/>
      <c r="K13" s="648"/>
      <c r="L13" s="613"/>
    </row>
    <row r="14" spans="1:12" ht="17.100000000000001" customHeight="1" x14ac:dyDescent="0.2">
      <c r="A14" s="226" t="s">
        <v>8</v>
      </c>
      <c r="B14" s="554" t="s">
        <v>810</v>
      </c>
      <c r="C14" s="537" t="s">
        <v>10</v>
      </c>
      <c r="D14" s="555">
        <f>J19</f>
        <v>3.8720000000000004E-2</v>
      </c>
      <c r="E14" s="281"/>
      <c r="F14" s="281"/>
      <c r="G14" s="556"/>
      <c r="H14" s="540"/>
      <c r="I14" s="540"/>
      <c r="J14" s="540"/>
      <c r="K14" s="540"/>
      <c r="L14" s="557" t="s">
        <v>535</v>
      </c>
    </row>
    <row r="15" spans="1:12" x14ac:dyDescent="0.2">
      <c r="A15" s="226"/>
      <c r="B15" s="551" t="s">
        <v>536</v>
      </c>
      <c r="C15" s="537" t="s">
        <v>33</v>
      </c>
      <c r="D15" s="283"/>
      <c r="E15" s="539">
        <v>0.88</v>
      </c>
      <c r="F15" s="539"/>
      <c r="G15" s="556"/>
      <c r="H15" s="540"/>
      <c r="I15" s="540"/>
      <c r="J15" s="540"/>
      <c r="K15" s="540"/>
      <c r="L15" s="540"/>
    </row>
    <row r="16" spans="1:12" ht="17.100000000000001" customHeight="1" x14ac:dyDescent="0.2">
      <c r="A16" s="226"/>
      <c r="B16" s="551" t="s">
        <v>149</v>
      </c>
      <c r="C16" s="537" t="s">
        <v>33</v>
      </c>
      <c r="D16" s="283"/>
      <c r="E16" s="539"/>
      <c r="F16" s="539">
        <v>0.88</v>
      </c>
      <c r="G16" s="556"/>
      <c r="H16" s="540"/>
      <c r="I16" s="540"/>
      <c r="J16" s="540"/>
      <c r="K16" s="540"/>
      <c r="L16" s="540"/>
    </row>
    <row r="17" spans="1:21" ht="17.100000000000001" customHeight="1" x14ac:dyDescent="0.2">
      <c r="A17" s="226"/>
      <c r="B17" s="551" t="s">
        <v>98</v>
      </c>
      <c r="C17" s="537" t="s">
        <v>33</v>
      </c>
      <c r="D17" s="283"/>
      <c r="E17" s="539"/>
      <c r="F17" s="539"/>
      <c r="G17" s="556">
        <v>0.05</v>
      </c>
      <c r="H17" s="540"/>
      <c r="I17" s="540"/>
      <c r="J17" s="540"/>
      <c r="K17" s="540"/>
      <c r="L17" s="540"/>
    </row>
    <row r="18" spans="1:21" ht="17.100000000000001" customHeight="1" x14ac:dyDescent="0.2">
      <c r="A18" s="226"/>
      <c r="B18" s="551" t="s">
        <v>776</v>
      </c>
      <c r="C18" s="648" t="s">
        <v>35</v>
      </c>
      <c r="D18" s="283">
        <f>E15*F16</f>
        <v>0.77439999999999998</v>
      </c>
      <c r="E18" s="539"/>
      <c r="F18" s="539"/>
      <c r="G18" s="556"/>
      <c r="H18" s="540"/>
      <c r="I18" s="540"/>
      <c r="J18" s="540"/>
      <c r="K18" s="540"/>
      <c r="L18" s="540"/>
    </row>
    <row r="19" spans="1:21" ht="17.100000000000001" customHeight="1" x14ac:dyDescent="0.2">
      <c r="A19" s="226"/>
      <c r="B19" s="700" t="s">
        <v>673</v>
      </c>
      <c r="C19" s="537" t="s">
        <v>10</v>
      </c>
      <c r="D19" s="543"/>
      <c r="E19" s="539"/>
      <c r="F19" s="539"/>
      <c r="G19" s="556"/>
      <c r="H19" s="540"/>
      <c r="I19" s="540"/>
      <c r="J19" s="549">
        <f>D18*G17</f>
        <v>3.8720000000000004E-2</v>
      </c>
      <c r="K19" s="537" t="s">
        <v>10</v>
      </c>
      <c r="L19" s="540"/>
    </row>
    <row r="20" spans="1:21" ht="17.100000000000001" customHeight="1" x14ac:dyDescent="0.2">
      <c r="A20" s="226"/>
      <c r="B20" s="700"/>
      <c r="C20" s="537"/>
      <c r="D20" s="543"/>
      <c r="E20" s="539"/>
      <c r="F20" s="539"/>
      <c r="G20" s="556"/>
      <c r="H20" s="540"/>
      <c r="I20" s="540"/>
      <c r="J20" s="549"/>
      <c r="K20" s="537"/>
      <c r="L20" s="540"/>
    </row>
    <row r="21" spans="1:21" ht="17.100000000000001" customHeight="1" x14ac:dyDescent="0.2">
      <c r="A21" s="226"/>
      <c r="B21" s="700"/>
      <c r="C21" s="537"/>
      <c r="D21" s="543"/>
      <c r="E21" s="539"/>
      <c r="F21" s="539"/>
      <c r="G21" s="556"/>
      <c r="H21" s="540"/>
      <c r="I21" s="540"/>
      <c r="J21" s="549"/>
      <c r="K21" s="537"/>
      <c r="L21" s="540"/>
    </row>
    <row r="22" spans="1:21" ht="17.100000000000001" customHeight="1" x14ac:dyDescent="0.2">
      <c r="A22" s="222" t="s">
        <v>23</v>
      </c>
      <c r="B22" s="548" t="s">
        <v>841</v>
      </c>
      <c r="C22" s="718" t="s">
        <v>10</v>
      </c>
      <c r="D22" s="717">
        <f>J25</f>
        <v>3.8720000000000004E-2</v>
      </c>
      <c r="E22" s="714"/>
      <c r="F22" s="714"/>
      <c r="G22" s="715"/>
      <c r="H22" s="716"/>
      <c r="I22" s="716"/>
      <c r="J22" s="717"/>
      <c r="K22" s="713"/>
      <c r="L22" s="540"/>
    </row>
    <row r="23" spans="1:21" ht="17.100000000000001" customHeight="1" x14ac:dyDescent="0.2">
      <c r="A23" s="647"/>
      <c r="B23" s="261" t="s">
        <v>842</v>
      </c>
      <c r="C23" s="648" t="s">
        <v>35</v>
      </c>
      <c r="D23" s="374">
        <f>D32</f>
        <v>0.77439999999999998</v>
      </c>
      <c r="E23" s="632"/>
      <c r="F23" s="632"/>
      <c r="G23" s="649"/>
      <c r="H23" s="650"/>
      <c r="I23" s="650"/>
      <c r="J23" s="696"/>
      <c r="K23" s="648"/>
      <c r="L23" s="540"/>
    </row>
    <row r="24" spans="1:21" ht="17.100000000000001" customHeight="1" x14ac:dyDescent="0.2">
      <c r="A24" s="647"/>
      <c r="B24" s="261" t="s">
        <v>843</v>
      </c>
      <c r="C24" s="648" t="s">
        <v>33</v>
      </c>
      <c r="D24" s="374"/>
      <c r="E24" s="632"/>
      <c r="F24" s="632"/>
      <c r="G24" s="649">
        <v>0.05</v>
      </c>
      <c r="H24" s="650"/>
      <c r="I24" s="650"/>
      <c r="J24" s="696"/>
      <c r="K24" s="648"/>
      <c r="L24" s="540"/>
    </row>
    <row r="25" spans="1:21" ht="17.100000000000001" customHeight="1" x14ac:dyDescent="0.2">
      <c r="A25" s="647"/>
      <c r="B25" s="612" t="s">
        <v>844</v>
      </c>
      <c r="C25" s="718" t="s">
        <v>10</v>
      </c>
      <c r="D25" s="374"/>
      <c r="E25" s="632"/>
      <c r="F25" s="632"/>
      <c r="G25" s="649"/>
      <c r="H25" s="650"/>
      <c r="I25" s="650"/>
      <c r="J25" s="696">
        <f>D23*G24</f>
        <v>3.8720000000000004E-2</v>
      </c>
      <c r="K25" s="718" t="s">
        <v>10</v>
      </c>
      <c r="L25" s="540"/>
    </row>
    <row r="26" spans="1:21" ht="17.100000000000001" customHeight="1" x14ac:dyDescent="0.2">
      <c r="A26" s="226"/>
      <c r="B26" s="700"/>
      <c r="C26" s="537"/>
      <c r="D26" s="543"/>
      <c r="E26" s="539"/>
      <c r="F26" s="539"/>
      <c r="G26" s="556"/>
      <c r="H26" s="540"/>
      <c r="I26" s="540"/>
      <c r="J26" s="549"/>
      <c r="K26" s="537"/>
      <c r="L26" s="540"/>
    </row>
    <row r="27" spans="1:21" ht="17.100000000000001" customHeight="1" x14ac:dyDescent="0.2">
      <c r="A27" s="226"/>
      <c r="B27" s="553"/>
      <c r="C27" s="226"/>
      <c r="D27" s="283"/>
      <c r="E27" s="281"/>
      <c r="F27" s="281"/>
      <c r="G27" s="556"/>
      <c r="H27" s="540"/>
      <c r="I27" s="540"/>
      <c r="J27" s="543"/>
      <c r="K27" s="226"/>
      <c r="L27" s="540"/>
      <c r="N27" s="427"/>
      <c r="O27" s="901"/>
      <c r="P27" s="901"/>
      <c r="Q27" s="428"/>
      <c r="R27" s="703"/>
      <c r="S27" s="704"/>
      <c r="T27" s="704"/>
      <c r="U27" s="705"/>
    </row>
    <row r="28" spans="1:21" ht="27" customHeight="1" x14ac:dyDescent="0.2">
      <c r="A28" s="298" t="s">
        <v>24</v>
      </c>
      <c r="B28" s="728" t="s">
        <v>865</v>
      </c>
      <c r="C28" s="728"/>
      <c r="D28" s="702">
        <f>J33</f>
        <v>3.8720000000000004E-2</v>
      </c>
      <c r="E28" s="298"/>
      <c r="F28" s="341"/>
      <c r="G28" s="342"/>
      <c r="H28" s="342"/>
      <c r="I28" s="342"/>
      <c r="J28" s="343"/>
      <c r="K28" s="344"/>
      <c r="L28" s="613"/>
    </row>
    <row r="29" spans="1:21" ht="17.100000000000001" customHeight="1" x14ac:dyDescent="0.2">
      <c r="A29" s="647"/>
      <c r="B29" s="551" t="s">
        <v>536</v>
      </c>
      <c r="C29" s="537" t="s">
        <v>33</v>
      </c>
      <c r="D29" s="283"/>
      <c r="E29" s="539">
        <v>0.88</v>
      </c>
      <c r="F29" s="539"/>
      <c r="G29" s="556"/>
      <c r="H29" s="540"/>
      <c r="I29" s="540"/>
      <c r="J29" s="540"/>
      <c r="K29" s="540"/>
      <c r="L29" s="613"/>
    </row>
    <row r="30" spans="1:21" ht="17.100000000000001" customHeight="1" x14ac:dyDescent="0.2">
      <c r="A30" s="647"/>
      <c r="B30" s="551" t="s">
        <v>149</v>
      </c>
      <c r="C30" s="537" t="s">
        <v>33</v>
      </c>
      <c r="D30" s="283"/>
      <c r="E30" s="539"/>
      <c r="F30" s="539">
        <v>0.88</v>
      </c>
      <c r="G30" s="556"/>
      <c r="H30" s="540"/>
      <c r="I30" s="540"/>
      <c r="J30" s="540"/>
      <c r="K30" s="540"/>
      <c r="L30" s="613"/>
    </row>
    <row r="31" spans="1:21" ht="17.100000000000001" customHeight="1" x14ac:dyDescent="0.2">
      <c r="A31" s="647"/>
      <c r="B31" s="551" t="s">
        <v>867</v>
      </c>
      <c r="C31" s="537" t="s">
        <v>33</v>
      </c>
      <c r="D31" s="283"/>
      <c r="E31" s="539"/>
      <c r="F31" s="539"/>
      <c r="G31" s="556">
        <v>0.05</v>
      </c>
      <c r="H31" s="540"/>
      <c r="I31" s="540"/>
      <c r="J31" s="540"/>
      <c r="K31" s="540"/>
      <c r="L31" s="613"/>
    </row>
    <row r="32" spans="1:21" ht="17.100000000000001" customHeight="1" x14ac:dyDescent="0.2">
      <c r="A32" s="647"/>
      <c r="B32" s="551" t="s">
        <v>776</v>
      </c>
      <c r="C32" s="648" t="s">
        <v>35</v>
      </c>
      <c r="D32" s="283">
        <f>E29*F30</f>
        <v>0.77439999999999998</v>
      </c>
      <c r="E32" s="539"/>
      <c r="F32" s="539"/>
      <c r="G32" s="556"/>
      <c r="H32" s="540"/>
      <c r="I32" s="540"/>
      <c r="J32" s="540"/>
      <c r="K32" s="540"/>
      <c r="L32" s="613"/>
    </row>
    <row r="33" spans="1:17" ht="17.100000000000001" customHeight="1" x14ac:dyDescent="0.2">
      <c r="A33" s="222"/>
      <c r="B33" s="700" t="s">
        <v>673</v>
      </c>
      <c r="C33" s="718" t="s">
        <v>10</v>
      </c>
      <c r="D33" s="543"/>
      <c r="E33" s="539"/>
      <c r="F33" s="539"/>
      <c r="G33" s="556"/>
      <c r="H33" s="540"/>
      <c r="I33" s="540"/>
      <c r="J33" s="549">
        <f>D32*G31</f>
        <v>3.8720000000000004E-2</v>
      </c>
      <c r="K33" s="537" t="s">
        <v>10</v>
      </c>
      <c r="L33" s="613"/>
    </row>
    <row r="34" spans="1:17" ht="17.100000000000001" customHeight="1" x14ac:dyDescent="0.2">
      <c r="A34" s="540"/>
      <c r="B34" s="540"/>
      <c r="C34" s="537"/>
      <c r="D34" s="543"/>
      <c r="E34" s="539"/>
      <c r="F34" s="539"/>
      <c r="G34" s="556"/>
      <c r="H34" s="540"/>
      <c r="I34" s="540"/>
      <c r="J34" s="549"/>
      <c r="K34" s="537"/>
      <c r="L34" s="613"/>
    </row>
    <row r="35" spans="1:17" ht="17.100000000000001" customHeight="1" x14ac:dyDescent="0.2">
      <c r="A35" s="647"/>
      <c r="B35" s="261"/>
      <c r="C35" s="648"/>
      <c r="D35" s="374"/>
      <c r="E35" s="632"/>
      <c r="F35" s="632"/>
      <c r="G35" s="649"/>
      <c r="H35" s="650"/>
      <c r="I35" s="650"/>
      <c r="J35" s="696"/>
      <c r="K35" s="648"/>
      <c r="L35" s="613"/>
    </row>
    <row r="36" spans="1:17" ht="51.75" customHeight="1" x14ac:dyDescent="0.2">
      <c r="A36" s="222" t="s">
        <v>8</v>
      </c>
      <c r="B36" s="610" t="s">
        <v>375</v>
      </c>
      <c r="C36" s="443" t="s">
        <v>35</v>
      </c>
      <c r="D36" s="458">
        <f>J40</f>
        <v>0.92459999999999998</v>
      </c>
      <c r="E36" s="255"/>
      <c r="F36" s="255"/>
      <c r="G36" s="496"/>
      <c r="H36" s="222"/>
      <c r="I36" s="222"/>
      <c r="J36" s="458"/>
      <c r="K36" s="443"/>
      <c r="L36" s="613"/>
    </row>
    <row r="37" spans="1:17" ht="17.100000000000001" customHeight="1" x14ac:dyDescent="0.2">
      <c r="A37" s="222"/>
      <c r="B37" s="261" t="s">
        <v>770</v>
      </c>
      <c r="C37" s="491" t="s">
        <v>33</v>
      </c>
      <c r="D37" s="254"/>
      <c r="E37" s="255"/>
      <c r="F37" s="454">
        <v>0.73</v>
      </c>
      <c r="G37" s="453"/>
      <c r="H37" s="729"/>
      <c r="I37" s="729"/>
      <c r="J37" s="454"/>
      <c r="K37" s="258"/>
      <c r="L37" s="453" t="s">
        <v>869</v>
      </c>
      <c r="M37" s="566" t="s">
        <v>782</v>
      </c>
      <c r="N37" s="566"/>
      <c r="O37" s="566"/>
      <c r="P37" s="566"/>
      <c r="Q37" s="566"/>
    </row>
    <row r="38" spans="1:17" ht="17.100000000000001" customHeight="1" x14ac:dyDescent="0.2">
      <c r="A38" s="611"/>
      <c r="B38" s="261" t="s">
        <v>771</v>
      </c>
      <c r="C38" s="491" t="s">
        <v>33</v>
      </c>
      <c r="D38" s="254"/>
      <c r="E38" s="255"/>
      <c r="F38" s="454">
        <v>0.64</v>
      </c>
      <c r="G38" s="452"/>
      <c r="H38" s="729"/>
      <c r="I38" s="729"/>
      <c r="J38" s="454"/>
      <c r="K38" s="258"/>
      <c r="L38" s="453" t="s">
        <v>773</v>
      </c>
      <c r="M38" s="566"/>
      <c r="N38" s="566"/>
      <c r="O38" s="566"/>
      <c r="P38" s="566"/>
      <c r="Q38" s="566"/>
    </row>
    <row r="39" spans="1:17" ht="17.100000000000001" customHeight="1" x14ac:dyDescent="0.2">
      <c r="A39" s="222"/>
      <c r="B39" s="261" t="s">
        <v>777</v>
      </c>
      <c r="C39" s="222" t="s">
        <v>33</v>
      </c>
      <c r="D39" s="222"/>
      <c r="E39" s="255"/>
      <c r="F39" s="454"/>
      <c r="G39" s="454">
        <v>0.46</v>
      </c>
      <c r="H39" s="454"/>
      <c r="I39" s="454"/>
      <c r="J39" s="454"/>
      <c r="K39" s="222"/>
      <c r="L39" s="258" t="s">
        <v>781</v>
      </c>
      <c r="M39" s="566" t="s">
        <v>783</v>
      </c>
      <c r="N39" s="566"/>
      <c r="O39" s="566"/>
      <c r="P39" s="566"/>
      <c r="Q39" s="566"/>
    </row>
    <row r="40" spans="1:17" ht="17.100000000000001" customHeight="1" x14ac:dyDescent="0.2">
      <c r="A40" s="222"/>
      <c r="B40" s="612" t="s">
        <v>500</v>
      </c>
      <c r="C40" s="443" t="s">
        <v>35</v>
      </c>
      <c r="D40" s="454"/>
      <c r="E40" s="255"/>
      <c r="F40" s="454"/>
      <c r="G40" s="454"/>
      <c r="H40" s="454"/>
      <c r="I40" s="454"/>
      <c r="J40" s="458">
        <f>(F37+F38*2)*G39</f>
        <v>0.92459999999999998</v>
      </c>
      <c r="K40" s="443" t="s">
        <v>35</v>
      </c>
      <c r="L40" s="258" t="s">
        <v>868</v>
      </c>
      <c r="M40" s="566"/>
      <c r="N40" s="566"/>
      <c r="O40" s="566"/>
      <c r="P40" s="566"/>
      <c r="Q40" s="566"/>
    </row>
    <row r="41" spans="1:17" ht="17.100000000000001" customHeight="1" x14ac:dyDescent="0.2">
      <c r="A41" s="222"/>
      <c r="B41" s="540"/>
      <c r="C41" s="540"/>
      <c r="D41" s="540"/>
      <c r="E41" s="540"/>
      <c r="F41" s="730"/>
      <c r="G41" s="730"/>
      <c r="H41" s="730"/>
      <c r="I41" s="730"/>
      <c r="J41" s="730"/>
      <c r="K41" s="540"/>
      <c r="L41" s="258"/>
      <c r="M41" s="566"/>
      <c r="N41" s="566"/>
      <c r="O41" s="566"/>
      <c r="P41" s="566"/>
      <c r="Q41" s="566"/>
    </row>
    <row r="42" spans="1:17" ht="53.25" customHeight="1" x14ac:dyDescent="0.2">
      <c r="A42" s="222" t="s">
        <v>23</v>
      </c>
      <c r="B42" s="610" t="s">
        <v>494</v>
      </c>
      <c r="C42" s="443" t="s">
        <v>35</v>
      </c>
      <c r="D42" s="458">
        <f>J46</f>
        <v>0.43259999999999998</v>
      </c>
      <c r="E42" s="255"/>
      <c r="F42" s="255"/>
      <c r="G42" s="454"/>
      <c r="H42" s="222"/>
      <c r="I42" s="222"/>
      <c r="J42" s="458"/>
      <c r="K42" s="443"/>
      <c r="L42" s="258"/>
      <c r="M42" s="566"/>
      <c r="N42" s="566"/>
      <c r="O42" s="566"/>
      <c r="P42" s="566"/>
      <c r="Q42" s="566"/>
    </row>
    <row r="43" spans="1:17" ht="17.100000000000001" customHeight="1" x14ac:dyDescent="0.2">
      <c r="B43" s="261" t="s">
        <v>770</v>
      </c>
      <c r="C43" s="491" t="s">
        <v>33</v>
      </c>
      <c r="D43" s="254"/>
      <c r="E43" s="255"/>
      <c r="F43" s="255">
        <v>0.78</v>
      </c>
      <c r="G43" s="452"/>
      <c r="H43" s="258"/>
      <c r="I43" s="258"/>
      <c r="J43" s="222"/>
      <c r="K43" s="258"/>
      <c r="L43" s="453" t="s">
        <v>779</v>
      </c>
      <c r="M43" s="566" t="s">
        <v>782</v>
      </c>
      <c r="N43" s="566"/>
      <c r="O43" s="566"/>
      <c r="P43" s="566"/>
      <c r="Q43" s="566"/>
    </row>
    <row r="44" spans="1:17" ht="17.100000000000001" customHeight="1" x14ac:dyDescent="0.2">
      <c r="A44" s="222"/>
      <c r="B44" s="261" t="s">
        <v>771</v>
      </c>
      <c r="C44" s="491" t="s">
        <v>33</v>
      </c>
      <c r="D44" s="254"/>
      <c r="E44" s="255"/>
      <c r="F44" s="255">
        <v>0.64</v>
      </c>
      <c r="G44" s="452"/>
      <c r="H44" s="258"/>
      <c r="I44" s="258"/>
      <c r="J44" s="222"/>
      <c r="K44" s="258"/>
      <c r="L44" s="453" t="s">
        <v>860</v>
      </c>
    </row>
    <row r="45" spans="1:17" ht="17.100000000000001" customHeight="1" x14ac:dyDescent="0.2">
      <c r="A45" s="222"/>
      <c r="B45" s="261" t="s">
        <v>778</v>
      </c>
      <c r="C45" s="222" t="s">
        <v>33</v>
      </c>
      <c r="D45" s="222"/>
      <c r="E45" s="255"/>
      <c r="F45" s="255"/>
      <c r="G45" s="454">
        <v>0.21</v>
      </c>
      <c r="H45" s="222"/>
      <c r="I45" s="222"/>
      <c r="J45" s="222"/>
      <c r="K45" s="222"/>
      <c r="L45" s="258" t="s">
        <v>780</v>
      </c>
      <c r="M45" s="566" t="s">
        <v>783</v>
      </c>
    </row>
    <row r="46" spans="1:17" ht="17.100000000000001" customHeight="1" x14ac:dyDescent="0.2">
      <c r="A46" s="222"/>
      <c r="B46" s="612" t="s">
        <v>500</v>
      </c>
      <c r="C46" s="443" t="s">
        <v>35</v>
      </c>
      <c r="D46" s="454"/>
      <c r="E46" s="255"/>
      <c r="F46" s="255"/>
      <c r="G46" s="454"/>
      <c r="H46" s="222"/>
      <c r="I46" s="222"/>
      <c r="J46" s="458">
        <f>(F43+F44*2)*G45</f>
        <v>0.43259999999999998</v>
      </c>
      <c r="K46" s="443" t="s">
        <v>35</v>
      </c>
      <c r="L46" s="258"/>
    </row>
    <row r="47" spans="1:17" ht="17.100000000000001" customHeight="1" x14ac:dyDescent="0.2">
      <c r="A47" s="222"/>
      <c r="B47" s="612"/>
      <c r="C47" s="443"/>
      <c r="D47" s="454"/>
      <c r="E47" s="255"/>
      <c r="F47" s="255"/>
      <c r="G47" s="454"/>
      <c r="H47" s="222"/>
      <c r="I47" s="222"/>
      <c r="J47" s="458"/>
      <c r="K47" s="443"/>
      <c r="L47" s="258"/>
    </row>
    <row r="48" spans="1:17" ht="46.5" customHeight="1" x14ac:dyDescent="0.2">
      <c r="A48" s="222" t="s">
        <v>24</v>
      </c>
      <c r="B48" s="586" t="s">
        <v>265</v>
      </c>
      <c r="C48" s="443" t="s">
        <v>35</v>
      </c>
      <c r="D48" s="449">
        <f>J62</f>
        <v>3.5588000000000002</v>
      </c>
      <c r="E48" s="255"/>
      <c r="F48" s="255"/>
      <c r="G48" s="454"/>
      <c r="H48" s="222"/>
      <c r="I48" s="222"/>
      <c r="J48" s="458"/>
      <c r="K48" s="443"/>
      <c r="L48" s="258"/>
    </row>
    <row r="49" spans="1:25" ht="17.100000000000001" customHeight="1" x14ac:dyDescent="0.2">
      <c r="A49" s="222"/>
      <c r="B49" s="261" t="s">
        <v>784</v>
      </c>
      <c r="C49" s="491" t="s">
        <v>33</v>
      </c>
      <c r="D49" s="454"/>
      <c r="E49" s="255">
        <f>F44*4</f>
        <v>2.56</v>
      </c>
      <c r="F49" s="255"/>
      <c r="G49" s="454"/>
      <c r="H49" s="222"/>
      <c r="I49" s="222"/>
      <c r="J49" s="458"/>
      <c r="K49" s="443"/>
      <c r="L49" s="258" t="s">
        <v>861</v>
      </c>
      <c r="N49" s="902" t="s">
        <v>859</v>
      </c>
      <c r="O49" s="902"/>
      <c r="P49" s="902"/>
      <c r="Q49" s="902"/>
      <c r="R49" s="902"/>
      <c r="S49" s="902"/>
    </row>
    <row r="50" spans="1:25" ht="17.100000000000001" customHeight="1" x14ac:dyDescent="0.2">
      <c r="A50" s="222"/>
      <c r="B50" s="261" t="s">
        <v>789</v>
      </c>
      <c r="C50" s="491" t="s">
        <v>33</v>
      </c>
      <c r="D50" s="454"/>
      <c r="E50" s="255"/>
      <c r="F50" s="255"/>
      <c r="G50" s="454">
        <v>0.8</v>
      </c>
      <c r="H50" s="222"/>
      <c r="I50" s="222"/>
      <c r="J50" s="458"/>
      <c r="K50" s="443"/>
      <c r="L50" s="258"/>
    </row>
    <row r="51" spans="1:25" ht="17.100000000000001" customHeight="1" x14ac:dyDescent="0.2">
      <c r="A51" s="222"/>
      <c r="B51" s="261" t="s">
        <v>790</v>
      </c>
      <c r="C51" s="443" t="s">
        <v>35</v>
      </c>
      <c r="D51" s="454"/>
      <c r="E51" s="255"/>
      <c r="F51" s="255"/>
      <c r="G51" s="454"/>
      <c r="H51" s="222"/>
      <c r="I51" s="222"/>
      <c r="J51" s="454">
        <f>E49*G50</f>
        <v>2.048</v>
      </c>
      <c r="K51" s="443" t="s">
        <v>35</v>
      </c>
      <c r="L51" s="258"/>
    </row>
    <row r="52" spans="1:25" ht="17.100000000000001" customHeight="1" x14ac:dyDescent="0.2">
      <c r="A52" s="222"/>
      <c r="B52" s="261"/>
      <c r="C52" s="491"/>
      <c r="D52" s="454"/>
      <c r="E52" s="255"/>
      <c r="F52" s="255"/>
      <c r="G52" s="454"/>
      <c r="H52" s="222"/>
      <c r="I52" s="222"/>
      <c r="J52" s="454"/>
      <c r="K52" s="443"/>
      <c r="L52" s="258"/>
    </row>
    <row r="53" spans="1:25" ht="17.100000000000001" customHeight="1" x14ac:dyDescent="0.2">
      <c r="A53" s="222"/>
      <c r="B53" s="261" t="s">
        <v>786</v>
      </c>
      <c r="C53" s="222" t="s">
        <v>33</v>
      </c>
      <c r="D53" s="454"/>
      <c r="E53" s="255"/>
      <c r="F53" s="255">
        <v>0.14000000000000001</v>
      </c>
      <c r="G53" s="454"/>
      <c r="H53" s="222"/>
      <c r="I53" s="222"/>
      <c r="J53" s="454"/>
      <c r="K53" s="443"/>
      <c r="L53" s="258"/>
    </row>
    <row r="54" spans="1:25" ht="17.100000000000001" customHeight="1" x14ac:dyDescent="0.2">
      <c r="A54" s="222"/>
      <c r="B54" s="261" t="s">
        <v>785</v>
      </c>
      <c r="C54" s="443" t="s">
        <v>33</v>
      </c>
      <c r="D54" s="454"/>
      <c r="E54" s="255">
        <f>F43*2+F44*2</f>
        <v>2.84</v>
      </c>
      <c r="F54" s="255"/>
      <c r="G54" s="454"/>
      <c r="H54" s="222"/>
      <c r="I54" s="222"/>
      <c r="J54" s="454"/>
      <c r="K54" s="443"/>
      <c r="L54" s="258"/>
    </row>
    <row r="55" spans="1:25" ht="17.100000000000001" customHeight="1" x14ac:dyDescent="0.2">
      <c r="A55" s="222"/>
      <c r="B55" s="261" t="s">
        <v>791</v>
      </c>
      <c r="C55" s="443" t="s">
        <v>35</v>
      </c>
      <c r="D55" s="454"/>
      <c r="E55" s="255"/>
      <c r="F55" s="255"/>
      <c r="G55" s="454"/>
      <c r="H55" s="222"/>
      <c r="I55" s="222"/>
      <c r="J55" s="454">
        <f>E54*F53</f>
        <v>0.39760000000000001</v>
      </c>
      <c r="K55" s="443" t="s">
        <v>35</v>
      </c>
      <c r="L55" s="258"/>
    </row>
    <row r="56" spans="1:25" ht="17.100000000000001" customHeight="1" x14ac:dyDescent="0.2">
      <c r="A56" s="222"/>
      <c r="B56" s="612"/>
      <c r="C56" s="443"/>
      <c r="D56" s="454"/>
      <c r="E56" s="255"/>
      <c r="F56" s="255"/>
      <c r="G56" s="454"/>
      <c r="H56" s="222"/>
      <c r="I56" s="222"/>
      <c r="J56" s="454"/>
      <c r="K56" s="443"/>
      <c r="L56" s="258"/>
    </row>
    <row r="57" spans="1:25" ht="17.100000000000001" customHeight="1" x14ac:dyDescent="0.2">
      <c r="A57" s="222"/>
      <c r="B57" s="261" t="s">
        <v>787</v>
      </c>
      <c r="C57" s="443" t="s">
        <v>33</v>
      </c>
      <c r="D57" s="454"/>
      <c r="E57" s="255">
        <v>0.92</v>
      </c>
      <c r="F57" s="255"/>
      <c r="G57" s="454"/>
      <c r="H57" s="222"/>
      <c r="I57" s="222"/>
      <c r="J57" s="454"/>
      <c r="K57" s="443"/>
      <c r="L57" s="258"/>
    </row>
    <row r="58" spans="1:25" ht="17.100000000000001" customHeight="1" x14ac:dyDescent="0.2">
      <c r="A58" s="222"/>
      <c r="B58" s="261" t="s">
        <v>788</v>
      </c>
      <c r="C58" s="443" t="s">
        <v>33</v>
      </c>
      <c r="D58" s="454"/>
      <c r="E58" s="255">
        <v>0.92</v>
      </c>
      <c r="F58" s="255"/>
      <c r="G58" s="454"/>
      <c r="H58" s="222"/>
      <c r="I58" s="222"/>
      <c r="J58" s="454"/>
      <c r="K58" s="443"/>
      <c r="L58" s="258"/>
    </row>
    <row r="59" spans="1:25" ht="17.100000000000001" customHeight="1" x14ac:dyDescent="0.2">
      <c r="A59" s="222"/>
      <c r="B59" s="261" t="s">
        <v>789</v>
      </c>
      <c r="C59" s="491" t="s">
        <v>33</v>
      </c>
      <c r="D59" s="458"/>
      <c r="E59" s="255"/>
      <c r="F59" s="255"/>
      <c r="G59" s="454">
        <f>G45</f>
        <v>0.21</v>
      </c>
      <c r="H59" s="222"/>
      <c r="I59" s="222"/>
      <c r="J59" s="454"/>
      <c r="K59" s="222"/>
      <c r="L59" s="613"/>
    </row>
    <row r="60" spans="1:25" ht="17.100000000000001" customHeight="1" x14ac:dyDescent="0.2">
      <c r="A60" s="222"/>
      <c r="B60" s="261" t="s">
        <v>792</v>
      </c>
      <c r="C60" s="443" t="s">
        <v>35</v>
      </c>
      <c r="D60" s="458"/>
      <c r="E60" s="255"/>
      <c r="F60" s="255"/>
      <c r="G60" s="463"/>
      <c r="H60" s="222"/>
      <c r="I60" s="222"/>
      <c r="J60" s="454">
        <f>E57+E58*G59</f>
        <v>1.1132</v>
      </c>
      <c r="K60" s="443" t="s">
        <v>35</v>
      </c>
      <c r="L60" s="613"/>
    </row>
    <row r="61" spans="1:25" x14ac:dyDescent="0.2">
      <c r="A61" s="222"/>
      <c r="B61" s="540"/>
      <c r="C61" s="540"/>
      <c r="E61" s="255"/>
      <c r="F61" s="255"/>
      <c r="G61" s="339"/>
      <c r="H61" s="258"/>
      <c r="I61" s="258"/>
      <c r="J61" s="222"/>
      <c r="K61" s="258"/>
      <c r="L61" s="453"/>
    </row>
    <row r="62" spans="1:25" x14ac:dyDescent="0.2">
      <c r="A62" s="222"/>
      <c r="B62" s="612" t="s">
        <v>669</v>
      </c>
      <c r="C62" s="443" t="s">
        <v>35</v>
      </c>
      <c r="D62" s="222"/>
      <c r="E62" s="255"/>
      <c r="F62" s="255"/>
      <c r="G62" s="266"/>
      <c r="H62" s="258"/>
      <c r="I62" s="258"/>
      <c r="J62" s="449">
        <f>J51+J55+J60</f>
        <v>3.5588000000000002</v>
      </c>
      <c r="K62" s="443" t="s">
        <v>35</v>
      </c>
      <c r="L62" s="258"/>
      <c r="O62" s="422"/>
      <c r="P62" s="423"/>
      <c r="Q62" s="424"/>
      <c r="R62" s="425"/>
      <c r="S62" s="405"/>
      <c r="T62" s="405"/>
      <c r="U62" s="405"/>
      <c r="V62" s="405"/>
      <c r="W62" s="698"/>
      <c r="X62" s="405"/>
      <c r="Y62" s="408"/>
    </row>
    <row r="63" spans="1:25" x14ac:dyDescent="0.2">
      <c r="A63" s="222"/>
      <c r="B63" s="219"/>
      <c r="C63" s="258"/>
      <c r="D63" s="254"/>
      <c r="E63" s="255"/>
      <c r="F63" s="255"/>
      <c r="G63" s="266"/>
      <c r="H63" s="258"/>
      <c r="I63" s="258"/>
      <c r="J63" s="222"/>
      <c r="K63" s="258"/>
      <c r="L63" s="453"/>
      <c r="O63" s="422"/>
      <c r="P63" s="423"/>
      <c r="Q63" s="424"/>
      <c r="R63" s="425"/>
      <c r="S63" s="405"/>
      <c r="T63" s="405"/>
      <c r="U63" s="405"/>
      <c r="V63" s="405"/>
      <c r="W63" s="698"/>
      <c r="X63" s="405"/>
      <c r="Y63" s="408"/>
    </row>
    <row r="64" spans="1:25" ht="38.25" x14ac:dyDescent="0.2">
      <c r="A64" s="222"/>
      <c r="B64" s="610" t="s">
        <v>314</v>
      </c>
      <c r="C64" s="443" t="s">
        <v>35</v>
      </c>
      <c r="D64" s="254">
        <f>J66</f>
        <v>3.9146800000000006</v>
      </c>
      <c r="E64" s="255"/>
      <c r="F64" s="255"/>
      <c r="G64" s="339"/>
      <c r="H64" s="258"/>
      <c r="I64" s="497"/>
      <c r="J64" s="449"/>
      <c r="K64" s="443"/>
      <c r="L64" s="453"/>
      <c r="O64" s="413"/>
      <c r="P64" s="414"/>
      <c r="Q64" s="415"/>
      <c r="R64" s="416"/>
      <c r="S64" s="417"/>
      <c r="T64" s="418"/>
      <c r="U64" s="419"/>
      <c r="V64" s="419"/>
      <c r="W64" s="419"/>
      <c r="X64" s="420"/>
      <c r="Y64" s="699"/>
    </row>
    <row r="65" spans="1:25" x14ac:dyDescent="0.2">
      <c r="A65" s="222"/>
      <c r="B65" s="610"/>
      <c r="C65" s="222"/>
      <c r="D65" s="222"/>
      <c r="E65" s="255"/>
      <c r="F65" s="255"/>
      <c r="G65" s="339"/>
      <c r="H65" s="258"/>
      <c r="I65" s="497"/>
      <c r="J65" s="449"/>
      <c r="K65" s="443"/>
      <c r="L65" s="453"/>
      <c r="O65" s="413"/>
      <c r="P65" s="414"/>
      <c r="Q65" s="415"/>
      <c r="R65" s="416"/>
      <c r="S65" s="417"/>
      <c r="T65" s="418"/>
      <c r="U65" s="419"/>
      <c r="V65" s="419"/>
      <c r="W65" s="419"/>
      <c r="X65" s="420"/>
      <c r="Y65" s="699"/>
    </row>
    <row r="66" spans="1:25" x14ac:dyDescent="0.2">
      <c r="A66" s="222"/>
      <c r="B66" s="394" t="s">
        <v>623</v>
      </c>
      <c r="C66" s="443" t="s">
        <v>35</v>
      </c>
      <c r="D66" s="222"/>
      <c r="E66" s="255"/>
      <c r="F66" s="255"/>
      <c r="G66" s="339"/>
      <c r="H66" s="258"/>
      <c r="I66" s="497"/>
      <c r="J66" s="449">
        <f>J62*1.1</f>
        <v>3.9146800000000006</v>
      </c>
      <c r="K66" s="443" t="s">
        <v>35</v>
      </c>
      <c r="L66" s="613" t="s">
        <v>588</v>
      </c>
      <c r="O66" s="413"/>
      <c r="P66" s="414"/>
      <c r="Q66" s="415"/>
      <c r="R66" s="416"/>
      <c r="S66" s="417"/>
      <c r="T66" s="418"/>
      <c r="U66" s="419"/>
      <c r="V66" s="419"/>
      <c r="W66" s="419"/>
      <c r="X66" s="420"/>
      <c r="Y66" s="699"/>
    </row>
    <row r="67" spans="1:25" x14ac:dyDescent="0.2">
      <c r="A67" s="222"/>
      <c r="B67" s="612"/>
      <c r="C67" s="222"/>
      <c r="D67" s="222"/>
      <c r="E67" s="255"/>
      <c r="F67" s="255"/>
      <c r="G67" s="266"/>
      <c r="H67" s="258"/>
      <c r="I67" s="497"/>
      <c r="J67" s="449"/>
      <c r="K67" s="443"/>
      <c r="L67" s="453"/>
    </row>
    <row r="68" spans="1:25" ht="38.25" x14ac:dyDescent="0.2">
      <c r="A68" s="222" t="s">
        <v>25</v>
      </c>
      <c r="B68" s="586" t="s">
        <v>412</v>
      </c>
      <c r="C68" s="443" t="s">
        <v>416</v>
      </c>
      <c r="D68" s="458">
        <f>J73</f>
        <v>4.3349999999999993E-2</v>
      </c>
      <c r="E68" s="255"/>
      <c r="F68" s="255"/>
      <c r="G68" s="266"/>
      <c r="H68" s="258"/>
      <c r="I68" s="497"/>
      <c r="J68" s="449"/>
      <c r="K68" s="443"/>
      <c r="L68" s="453"/>
    </row>
    <row r="69" spans="1:25" x14ac:dyDescent="0.2">
      <c r="A69" s="222"/>
      <c r="B69" s="394" t="s">
        <v>513</v>
      </c>
      <c r="C69" s="450" t="s">
        <v>33</v>
      </c>
      <c r="D69" s="254"/>
      <c r="E69" s="255"/>
      <c r="F69" s="255"/>
      <c r="G69" s="474">
        <v>0.06</v>
      </c>
      <c r="H69" s="258"/>
      <c r="I69" s="258"/>
      <c r="J69" s="222"/>
      <c r="K69" s="222"/>
      <c r="L69" s="453" t="s">
        <v>587</v>
      </c>
    </row>
    <row r="70" spans="1:25" x14ac:dyDescent="0.2">
      <c r="A70" s="222"/>
      <c r="B70" s="394" t="s">
        <v>793</v>
      </c>
      <c r="C70" s="443" t="s">
        <v>33</v>
      </c>
      <c r="D70" s="454"/>
      <c r="E70" s="255">
        <v>0.85</v>
      </c>
      <c r="F70" s="255"/>
      <c r="G70" s="474"/>
      <c r="H70" s="258"/>
      <c r="I70" s="258"/>
      <c r="J70" s="222"/>
      <c r="K70" s="222"/>
      <c r="L70" s="453" t="s">
        <v>672</v>
      </c>
    </row>
    <row r="71" spans="1:25" x14ac:dyDescent="0.2">
      <c r="A71" s="222"/>
      <c r="B71" s="394" t="s">
        <v>794</v>
      </c>
      <c r="C71" s="443" t="s">
        <v>33</v>
      </c>
      <c r="D71" s="454"/>
      <c r="E71" s="255"/>
      <c r="F71" s="255">
        <v>0.85</v>
      </c>
      <c r="G71" s="474"/>
      <c r="H71" s="258"/>
      <c r="I71" s="258"/>
      <c r="J71" s="222"/>
      <c r="K71" s="222"/>
      <c r="L71" s="453"/>
    </row>
    <row r="72" spans="1:25" x14ac:dyDescent="0.2">
      <c r="A72" s="222"/>
      <c r="B72" s="394" t="s">
        <v>479</v>
      </c>
      <c r="C72" s="443" t="s">
        <v>35</v>
      </c>
      <c r="D72" s="454">
        <f>E70*F71</f>
        <v>0.72249999999999992</v>
      </c>
      <c r="E72" s="255"/>
      <c r="F72" s="255"/>
      <c r="G72" s="474"/>
      <c r="H72" s="258"/>
      <c r="I72" s="258"/>
      <c r="J72" s="222"/>
      <c r="K72" s="222"/>
      <c r="L72" s="453"/>
    </row>
    <row r="73" spans="1:25" x14ac:dyDescent="0.2">
      <c r="A73" s="222"/>
      <c r="B73" s="646" t="s">
        <v>673</v>
      </c>
      <c r="C73" s="443" t="s">
        <v>416</v>
      </c>
      <c r="D73" s="587"/>
      <c r="E73" s="255"/>
      <c r="F73" s="255"/>
      <c r="G73" s="474"/>
      <c r="H73" s="258"/>
      <c r="I73" s="258"/>
      <c r="J73" s="458">
        <f>D72*G69</f>
        <v>4.3349999999999993E-2</v>
      </c>
      <c r="K73" s="443" t="s">
        <v>416</v>
      </c>
      <c r="L73" s="453"/>
    </row>
    <row r="74" spans="1:25" x14ac:dyDescent="0.2">
      <c r="A74" s="340"/>
      <c r="B74" s="440"/>
      <c r="C74" s="440"/>
      <c r="D74" s="440"/>
      <c r="E74" s="440"/>
      <c r="F74" s="616"/>
      <c r="G74" s="222"/>
      <c r="H74" s="258"/>
      <c r="I74" s="258"/>
      <c r="J74" s="222"/>
      <c r="K74" s="258"/>
      <c r="L74" s="453"/>
    </row>
  </sheetData>
  <sheetProtection algorithmName="SHA-512" hashValue="a3BXFoxD3yDvrS0S7JdU9YJWoCbnPRfkbcMW/wBiWp2a3gm1pMz8U7mxVP5HR8Krs+gg+XurCiDfKwNyjb+JRg==" saltValue="jlTcLoz3tThLCmNqDjSXRg==" spinCount="100000" sheet="1" objects="1" scenarios="1" selectLockedCells="1" selectUnlockedCells="1"/>
  <mergeCells count="4">
    <mergeCell ref="A1:L1"/>
    <mergeCell ref="A2:L2"/>
    <mergeCell ref="O27:P27"/>
    <mergeCell ref="N49:S49"/>
  </mergeCells>
  <printOptions horizontalCentered="1"/>
  <pageMargins left="0.51181102362204722" right="0.51181102362204722" top="0.78740157480314965" bottom="0.78740157480314965"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C2:L87"/>
  <sheetViews>
    <sheetView topLeftCell="A28" workbookViewId="0">
      <selection activeCell="T32" sqref="T32"/>
    </sheetView>
  </sheetViews>
  <sheetFormatPr defaultRowHeight="12.75" x14ac:dyDescent="0.2"/>
  <cols>
    <col min="3" max="3" width="14.7109375" customWidth="1"/>
    <col min="4" max="4" width="11.5703125" customWidth="1"/>
    <col min="5" max="6" width="11.42578125" customWidth="1"/>
    <col min="7" max="7" width="10.5703125" customWidth="1"/>
    <col min="8" max="8" width="12.140625" customWidth="1"/>
    <col min="9" max="9" width="12.28515625" customWidth="1"/>
    <col min="10" max="10" width="13.42578125" customWidth="1"/>
    <col min="11" max="11" width="1.28515625" customWidth="1"/>
  </cols>
  <sheetData>
    <row r="2" spans="3:11" ht="13.5" thickBot="1" x14ac:dyDescent="0.25"/>
    <row r="3" spans="3:11" x14ac:dyDescent="0.2">
      <c r="C3" s="151" t="s">
        <v>211</v>
      </c>
      <c r="D3" s="152"/>
      <c r="E3" s="152"/>
      <c r="F3" s="152"/>
      <c r="G3" s="152"/>
      <c r="H3" s="152"/>
      <c r="I3" s="152"/>
      <c r="J3" s="152"/>
      <c r="K3" s="153"/>
    </row>
    <row r="4" spans="3:11" x14ac:dyDescent="0.2">
      <c r="C4" s="155"/>
      <c r="D4" s="156"/>
      <c r="E4" s="156"/>
      <c r="F4" s="156"/>
      <c r="G4" s="156"/>
      <c r="H4" s="156"/>
      <c r="I4" s="156"/>
      <c r="J4" s="156"/>
      <c r="K4" s="154"/>
    </row>
    <row r="5" spans="3:11" x14ac:dyDescent="0.2">
      <c r="C5" s="906" t="s">
        <v>268</v>
      </c>
      <c r="D5" s="907"/>
      <c r="E5" s="907"/>
      <c r="F5" s="907"/>
      <c r="G5" s="907"/>
      <c r="H5" s="907"/>
      <c r="I5" s="907"/>
      <c r="J5" s="907"/>
      <c r="K5" s="908"/>
    </row>
    <row r="6" spans="3:11" x14ac:dyDescent="0.2">
      <c r="C6" s="909" t="s">
        <v>264</v>
      </c>
      <c r="D6" s="910"/>
      <c r="E6" s="910"/>
      <c r="F6" s="910"/>
      <c r="G6" s="910"/>
      <c r="H6" s="910"/>
      <c r="I6" s="910"/>
      <c r="J6" s="910"/>
      <c r="K6" s="911"/>
    </row>
    <row r="7" spans="3:11" ht="13.5" customHeight="1" thickBot="1" x14ac:dyDescent="0.25">
      <c r="C7" s="912" t="s">
        <v>263</v>
      </c>
      <c r="D7" s="913"/>
      <c r="E7" s="913"/>
      <c r="F7" s="913"/>
      <c r="G7" s="913"/>
      <c r="H7" s="913"/>
      <c r="I7" s="913"/>
      <c r="J7" s="913"/>
      <c r="K7" s="914"/>
    </row>
    <row r="8" spans="3:11" ht="12.75" customHeight="1" x14ac:dyDescent="0.2"/>
    <row r="9" spans="3:11" ht="13.5" thickBot="1" x14ac:dyDescent="0.25"/>
    <row r="10" spans="3:11" ht="20.25" x14ac:dyDescent="0.3">
      <c r="C10" s="208" t="s">
        <v>169</v>
      </c>
      <c r="D10" s="108"/>
      <c r="E10" s="108"/>
      <c r="F10" s="108"/>
      <c r="G10" s="108"/>
      <c r="H10" s="108"/>
      <c r="I10" s="108"/>
      <c r="J10" s="108"/>
      <c r="K10" s="107"/>
    </row>
    <row r="11" spans="3:11" ht="21" thickBot="1" x14ac:dyDescent="0.35">
      <c r="C11" s="106"/>
      <c r="D11" s="933" t="s">
        <v>337</v>
      </c>
      <c r="E11" s="933"/>
      <c r="F11" s="933"/>
      <c r="G11" s="933"/>
      <c r="H11" s="933"/>
      <c r="I11" s="933"/>
      <c r="J11" s="105"/>
      <c r="K11" s="14"/>
    </row>
    <row r="12" spans="3:11" x14ac:dyDescent="0.2">
      <c r="C12" s="51"/>
      <c r="D12" s="50"/>
      <c r="E12" s="49"/>
      <c r="F12" s="15"/>
      <c r="G12" s="104"/>
      <c r="H12" s="15"/>
      <c r="I12" s="15"/>
      <c r="J12" s="15"/>
      <c r="K12" s="14"/>
    </row>
    <row r="13" spans="3:11" ht="15.75" x14ac:dyDescent="0.25">
      <c r="C13" s="103" t="s">
        <v>168</v>
      </c>
      <c r="D13" s="36"/>
      <c r="E13" s="102"/>
      <c r="F13" s="15"/>
      <c r="G13" s="15"/>
      <c r="H13" s="15"/>
      <c r="I13" s="35"/>
      <c r="J13" s="15"/>
      <c r="K13" s="14"/>
    </row>
    <row r="14" spans="3:11" ht="13.5" thickBot="1" x14ac:dyDescent="0.25">
      <c r="C14" s="101" t="s">
        <v>167</v>
      </c>
      <c r="D14" s="100"/>
      <c r="E14" s="99"/>
      <c r="F14" s="15"/>
      <c r="G14" s="919"/>
      <c r="H14" s="919"/>
      <c r="I14" s="919"/>
      <c r="J14" s="15"/>
      <c r="K14" s="14"/>
    </row>
    <row r="15" spans="3:11" x14ac:dyDescent="0.2">
      <c r="C15" s="98"/>
      <c r="D15" s="36"/>
      <c r="E15" s="36"/>
      <c r="F15" s="15"/>
      <c r="G15" s="920"/>
      <c r="H15" s="920"/>
      <c r="I15" s="920"/>
      <c r="J15" s="15"/>
      <c r="K15" s="14"/>
    </row>
    <row r="16" spans="3:11" x14ac:dyDescent="0.2">
      <c r="C16" s="16" t="s">
        <v>166</v>
      </c>
      <c r="D16" s="15"/>
      <c r="E16" s="15"/>
      <c r="F16" s="15"/>
      <c r="G16" s="920"/>
      <c r="H16" s="920"/>
      <c r="I16" s="920"/>
      <c r="J16" s="15"/>
      <c r="K16" s="14"/>
    </row>
    <row r="17" spans="3:11" x14ac:dyDescent="0.2">
      <c r="C17" s="16" t="s">
        <v>165</v>
      </c>
      <c r="D17" s="15"/>
      <c r="E17" s="15"/>
      <c r="F17" s="15"/>
      <c r="G17" s="15"/>
      <c r="H17" s="15"/>
      <c r="I17" s="15"/>
      <c r="J17" s="15"/>
      <c r="K17" s="14"/>
    </row>
    <row r="18" spans="3:11" x14ac:dyDescent="0.2">
      <c r="C18" s="16" t="s">
        <v>164</v>
      </c>
      <c r="D18" s="15"/>
      <c r="E18" s="15"/>
      <c r="F18" s="15"/>
      <c r="G18" s="15"/>
      <c r="H18" s="15"/>
      <c r="I18" s="15"/>
      <c r="J18" s="15"/>
      <c r="K18" s="14"/>
    </row>
    <row r="19" spans="3:11" x14ac:dyDescent="0.2">
      <c r="C19" s="16" t="s">
        <v>163</v>
      </c>
      <c r="D19" s="15"/>
      <c r="E19" s="15"/>
      <c r="F19" s="15"/>
      <c r="G19" s="15"/>
      <c r="H19" s="15"/>
      <c r="I19" s="15"/>
      <c r="J19" s="15"/>
      <c r="K19" s="14"/>
    </row>
    <row r="20" spans="3:11" x14ac:dyDescent="0.2">
      <c r="C20" s="16" t="s">
        <v>162</v>
      </c>
      <c r="D20" s="15"/>
      <c r="E20" s="15"/>
      <c r="F20" s="15"/>
      <c r="G20" s="15"/>
      <c r="H20" s="15"/>
      <c r="I20" s="15"/>
      <c r="J20" s="15"/>
      <c r="K20" s="14"/>
    </row>
    <row r="21" spans="3:11" x14ac:dyDescent="0.2">
      <c r="C21" s="16" t="s">
        <v>161</v>
      </c>
      <c r="D21" s="15"/>
      <c r="E21" s="15"/>
      <c r="F21" s="15"/>
      <c r="G21" s="15"/>
      <c r="H21" s="15"/>
      <c r="I21" s="15"/>
      <c r="J21" s="15"/>
      <c r="K21" s="14"/>
    </row>
    <row r="22" spans="3:11" x14ac:dyDescent="0.2">
      <c r="C22" s="16" t="s">
        <v>160</v>
      </c>
      <c r="D22" s="15"/>
      <c r="E22" s="15"/>
      <c r="F22" s="15"/>
      <c r="G22" s="15"/>
      <c r="H22" s="15"/>
      <c r="I22" s="15"/>
      <c r="J22" s="15"/>
      <c r="K22" s="14"/>
    </row>
    <row r="23" spans="3:11" ht="13.5" thickBot="1" x14ac:dyDescent="0.25">
      <c r="C23" s="16"/>
      <c r="D23" s="15"/>
      <c r="E23" s="15"/>
      <c r="F23" s="15"/>
      <c r="G23" s="15"/>
      <c r="H23" s="15"/>
      <c r="I23" s="15"/>
      <c r="J23" s="15"/>
      <c r="K23" s="14"/>
    </row>
    <row r="24" spans="3:11" ht="13.5" thickTop="1" x14ac:dyDescent="0.2">
      <c r="C24" s="97" t="s">
        <v>159</v>
      </c>
      <c r="D24" s="96" t="s">
        <v>158</v>
      </c>
      <c r="E24" s="96" t="s">
        <v>157</v>
      </c>
      <c r="F24" s="96" t="s">
        <v>156</v>
      </c>
      <c r="G24" s="96" t="s">
        <v>155</v>
      </c>
      <c r="H24" s="96" t="s">
        <v>154</v>
      </c>
      <c r="I24" s="95" t="s">
        <v>153</v>
      </c>
      <c r="J24" s="15"/>
      <c r="K24" s="14"/>
    </row>
    <row r="25" spans="3:11" ht="16.5" thickBot="1" x14ac:dyDescent="0.3">
      <c r="C25" s="94">
        <v>1000</v>
      </c>
      <c r="D25" s="93">
        <v>4</v>
      </c>
      <c r="E25" s="93">
        <v>30</v>
      </c>
      <c r="F25" s="211">
        <v>1</v>
      </c>
      <c r="G25" s="209">
        <v>0</v>
      </c>
      <c r="H25" s="93">
        <v>1</v>
      </c>
      <c r="I25" s="92">
        <f>1000+D25*(E25*F25+G25*H25)</f>
        <v>1120</v>
      </c>
      <c r="J25" s="15"/>
      <c r="K25" s="14"/>
    </row>
    <row r="26" spans="3:11" ht="14.25" thickTop="1" thickBot="1" x14ac:dyDescent="0.25">
      <c r="C26" s="16"/>
      <c r="D26" s="15"/>
      <c r="E26" s="15"/>
      <c r="F26" s="15"/>
      <c r="G26" s="15"/>
      <c r="H26" s="15"/>
      <c r="I26" s="15"/>
      <c r="J26" s="15"/>
      <c r="K26" s="14"/>
    </row>
    <row r="27" spans="3:11" ht="13.5" thickBot="1" x14ac:dyDescent="0.25">
      <c r="C27" s="921" t="s">
        <v>152</v>
      </c>
      <c r="D27" s="922"/>
      <c r="E27" s="922"/>
      <c r="F27" s="923"/>
      <c r="G27" s="36"/>
      <c r="H27" s="91" t="s">
        <v>151</v>
      </c>
      <c r="I27" s="90"/>
      <c r="J27" s="89"/>
      <c r="K27" s="14"/>
    </row>
    <row r="28" spans="3:11" x14ac:dyDescent="0.2">
      <c r="C28" s="88" t="s">
        <v>150</v>
      </c>
      <c r="D28" s="87" t="s">
        <v>149</v>
      </c>
      <c r="E28" s="87" t="s">
        <v>142</v>
      </c>
      <c r="F28" s="86" t="s">
        <v>99</v>
      </c>
      <c r="G28" s="15"/>
      <c r="H28" s="16" t="s">
        <v>148</v>
      </c>
      <c r="I28" s="15"/>
      <c r="J28" s="14"/>
      <c r="K28" s="14"/>
    </row>
    <row r="29" spans="3:11" x14ac:dyDescent="0.2">
      <c r="C29" s="85" t="s">
        <v>88</v>
      </c>
      <c r="D29" s="84" t="s">
        <v>88</v>
      </c>
      <c r="E29" s="84" t="s">
        <v>88</v>
      </c>
      <c r="F29" s="83" t="s">
        <v>138</v>
      </c>
      <c r="G29" s="15"/>
      <c r="H29" s="16" t="s">
        <v>147</v>
      </c>
      <c r="I29" s="15"/>
      <c r="J29" s="14"/>
      <c r="K29" s="14"/>
    </row>
    <row r="30" spans="3:11" ht="16.5" thickBot="1" x14ac:dyDescent="0.3">
      <c r="C30" s="82">
        <v>1</v>
      </c>
      <c r="D30" s="71">
        <v>2</v>
      </c>
      <c r="E30" s="71">
        <f>F30/1000/(C30*D30)</f>
        <v>0.56000000000000005</v>
      </c>
      <c r="F30" s="81">
        <f>I25</f>
        <v>1120</v>
      </c>
      <c r="G30" s="15"/>
      <c r="H30" s="13" t="s">
        <v>146</v>
      </c>
      <c r="I30" s="12"/>
      <c r="J30" s="11"/>
      <c r="K30" s="14"/>
    </row>
    <row r="31" spans="3:11" ht="13.5" thickBot="1" x14ac:dyDescent="0.25">
      <c r="C31" s="51"/>
      <c r="D31" s="50"/>
      <c r="E31" s="50"/>
      <c r="F31" s="50"/>
      <c r="G31" s="15"/>
      <c r="H31" s="15" t="s">
        <v>94</v>
      </c>
      <c r="I31" s="15"/>
      <c r="J31" s="15"/>
      <c r="K31" s="14"/>
    </row>
    <row r="32" spans="3:11" ht="13.5" thickBot="1" x14ac:dyDescent="0.25">
      <c r="C32" s="80" t="s">
        <v>145</v>
      </c>
      <c r="D32" s="79"/>
      <c r="E32" s="79"/>
      <c r="F32" s="78"/>
      <c r="G32" s="15"/>
      <c r="H32" s="924" t="s">
        <v>144</v>
      </c>
      <c r="I32" s="925"/>
      <c r="J32" s="926"/>
      <c r="K32" s="14"/>
    </row>
    <row r="33" spans="3:11" x14ac:dyDescent="0.2">
      <c r="C33" s="77" t="s">
        <v>143</v>
      </c>
      <c r="D33" s="76" t="s">
        <v>142</v>
      </c>
      <c r="E33" s="76" t="s">
        <v>141</v>
      </c>
      <c r="F33" s="75" t="s">
        <v>99</v>
      </c>
      <c r="G33" s="15"/>
      <c r="H33" s="927" t="s">
        <v>140</v>
      </c>
      <c r="I33" s="928"/>
      <c r="J33" s="929"/>
      <c r="K33" s="14"/>
    </row>
    <row r="34" spans="3:11" ht="13.5" thickBot="1" x14ac:dyDescent="0.25">
      <c r="C34" s="74" t="s">
        <v>88</v>
      </c>
      <c r="D34" s="38" t="s">
        <v>88</v>
      </c>
      <c r="E34" s="73" t="s">
        <v>139</v>
      </c>
      <c r="F34" s="72" t="s">
        <v>138</v>
      </c>
      <c r="G34" s="15"/>
      <c r="H34" s="930"/>
      <c r="I34" s="931"/>
      <c r="J34" s="932"/>
      <c r="K34" s="14"/>
    </row>
    <row r="35" spans="3:11" ht="16.5" thickBot="1" x14ac:dyDescent="0.3">
      <c r="C35" s="82">
        <f>((4*F35/1000)/(D35*PI()))^(1/2)</f>
        <v>1.2360774464742068</v>
      </c>
      <c r="D35" s="71">
        <v>1.25</v>
      </c>
      <c r="E35" s="71">
        <v>1</v>
      </c>
      <c r="F35" s="70">
        <f>IF(I25&lt;1500,(1500),(I25))</f>
        <v>1500</v>
      </c>
      <c r="G35" s="15"/>
      <c r="H35" s="69" t="s">
        <v>137</v>
      </c>
      <c r="I35" s="68"/>
      <c r="J35" s="67"/>
      <c r="K35" s="14"/>
    </row>
    <row r="36" spans="3:11" x14ac:dyDescent="0.2">
      <c r="C36" s="66"/>
      <c r="D36" s="15"/>
      <c r="E36" s="15"/>
      <c r="F36" s="15"/>
      <c r="G36" s="15"/>
      <c r="H36" s="15"/>
      <c r="I36" s="15"/>
      <c r="J36" s="15"/>
      <c r="K36" s="14"/>
    </row>
    <row r="37" spans="3:11" x14ac:dyDescent="0.2">
      <c r="C37" s="915" t="s">
        <v>136</v>
      </c>
      <c r="D37" s="916"/>
      <c r="E37" s="916"/>
      <c r="F37" s="916"/>
      <c r="G37" s="916"/>
      <c r="H37" s="916"/>
      <c r="I37" s="916"/>
      <c r="J37" s="916"/>
      <c r="K37" s="14"/>
    </row>
    <row r="38" spans="3:11" x14ac:dyDescent="0.2">
      <c r="C38" s="917"/>
      <c r="D38" s="918"/>
      <c r="E38" s="918"/>
      <c r="F38" s="918"/>
      <c r="G38" s="918"/>
      <c r="H38" s="918"/>
      <c r="I38" s="918"/>
      <c r="J38" s="918"/>
      <c r="K38" s="14"/>
    </row>
    <row r="39" spans="3:11" x14ac:dyDescent="0.2">
      <c r="C39" s="32" t="s">
        <v>135</v>
      </c>
      <c r="D39" s="65"/>
      <c r="E39" s="21"/>
      <c r="F39" s="64" t="s">
        <v>134</v>
      </c>
      <c r="G39" s="31" t="s">
        <v>133</v>
      </c>
      <c r="H39" s="30"/>
      <c r="I39" s="31" t="s">
        <v>132</v>
      </c>
      <c r="J39" s="30"/>
      <c r="K39" s="14"/>
    </row>
    <row r="40" spans="3:11" x14ac:dyDescent="0.2">
      <c r="C40" s="63" t="s">
        <v>94</v>
      </c>
      <c r="D40" s="53"/>
      <c r="E40" s="17"/>
      <c r="F40" s="62" t="s">
        <v>94</v>
      </c>
      <c r="G40" s="27" t="s">
        <v>131</v>
      </c>
      <c r="H40" s="26"/>
      <c r="I40" s="27" t="s">
        <v>130</v>
      </c>
      <c r="J40" s="26"/>
      <c r="K40" s="14"/>
    </row>
    <row r="41" spans="3:11" x14ac:dyDescent="0.2">
      <c r="C41" s="34" t="s">
        <v>129</v>
      </c>
      <c r="D41" s="15"/>
      <c r="E41" s="60"/>
      <c r="F41" s="60"/>
      <c r="G41" s="36"/>
      <c r="H41" s="19"/>
      <c r="I41" s="36"/>
      <c r="J41" s="19"/>
      <c r="K41" s="14"/>
    </row>
    <row r="42" spans="3:11" x14ac:dyDescent="0.2">
      <c r="C42" s="16" t="s">
        <v>128</v>
      </c>
      <c r="D42" s="15"/>
      <c r="E42" s="60"/>
      <c r="F42" s="60"/>
      <c r="G42" s="36"/>
      <c r="H42" s="19"/>
      <c r="I42" s="36"/>
      <c r="J42" s="19"/>
      <c r="K42" s="14"/>
    </row>
    <row r="43" spans="3:11" x14ac:dyDescent="0.2">
      <c r="C43" s="16" t="s">
        <v>127</v>
      </c>
      <c r="D43" s="15"/>
      <c r="E43" s="60"/>
      <c r="F43" s="59" t="s">
        <v>115</v>
      </c>
      <c r="G43" s="36">
        <v>160</v>
      </c>
      <c r="H43" s="19"/>
      <c r="I43" s="36">
        <v>1</v>
      </c>
      <c r="J43" s="19"/>
      <c r="K43" s="14"/>
    </row>
    <row r="44" spans="3:11" x14ac:dyDescent="0.2">
      <c r="C44" s="16" t="s">
        <v>126</v>
      </c>
      <c r="D44" s="15"/>
      <c r="E44" s="60"/>
      <c r="F44" s="59" t="s">
        <v>115</v>
      </c>
      <c r="G44" s="36">
        <v>130</v>
      </c>
      <c r="H44" s="19"/>
      <c r="I44" s="36">
        <v>1</v>
      </c>
      <c r="J44" s="19"/>
      <c r="K44" s="14"/>
    </row>
    <row r="45" spans="3:11" x14ac:dyDescent="0.2">
      <c r="C45" s="16" t="s">
        <v>125</v>
      </c>
      <c r="D45" s="15"/>
      <c r="E45" s="60"/>
      <c r="F45" s="59" t="s">
        <v>115</v>
      </c>
      <c r="G45" s="36" t="s">
        <v>124</v>
      </c>
      <c r="H45" s="19"/>
      <c r="I45" s="36">
        <v>1</v>
      </c>
      <c r="J45" s="19"/>
      <c r="K45" s="14"/>
    </row>
    <row r="46" spans="3:11" x14ac:dyDescent="0.2">
      <c r="C46" s="16" t="s">
        <v>123</v>
      </c>
      <c r="D46" s="15"/>
      <c r="E46" s="60"/>
      <c r="F46" s="59" t="s">
        <v>115</v>
      </c>
      <c r="G46" s="36">
        <v>100</v>
      </c>
      <c r="H46" s="19"/>
      <c r="I46" s="36">
        <v>1</v>
      </c>
      <c r="J46" s="19"/>
      <c r="K46" s="14"/>
    </row>
    <row r="47" spans="3:11" x14ac:dyDescent="0.2">
      <c r="C47" s="16" t="s">
        <v>122</v>
      </c>
      <c r="D47" s="15"/>
      <c r="E47" s="60"/>
      <c r="F47" s="59" t="s">
        <v>115</v>
      </c>
      <c r="G47" s="36">
        <v>80</v>
      </c>
      <c r="H47" s="19"/>
      <c r="I47" s="36">
        <v>1</v>
      </c>
      <c r="J47" s="19"/>
      <c r="K47" s="14"/>
    </row>
    <row r="48" spans="3:11" x14ac:dyDescent="0.2">
      <c r="C48" s="34" t="s">
        <v>121</v>
      </c>
      <c r="D48" s="15"/>
      <c r="E48" s="60"/>
      <c r="F48" s="61"/>
      <c r="G48" s="36"/>
      <c r="H48" s="19"/>
      <c r="I48" s="36"/>
      <c r="J48" s="19"/>
      <c r="K48" s="14"/>
    </row>
    <row r="49" spans="3:11" x14ac:dyDescent="0.2">
      <c r="C49" s="16" t="s">
        <v>120</v>
      </c>
      <c r="D49" s="15"/>
      <c r="E49" s="60"/>
      <c r="F49" s="59" t="s">
        <v>115</v>
      </c>
      <c r="G49" s="36">
        <v>70</v>
      </c>
      <c r="H49" s="19"/>
      <c r="I49" s="36">
        <v>0.3</v>
      </c>
      <c r="J49" s="19"/>
      <c r="K49" s="14"/>
    </row>
    <row r="50" spans="3:11" x14ac:dyDescent="0.2">
      <c r="C50" s="16" t="s">
        <v>119</v>
      </c>
      <c r="D50" s="15"/>
      <c r="E50" s="60"/>
      <c r="F50" s="59" t="s">
        <v>115</v>
      </c>
      <c r="G50" s="36">
        <v>50</v>
      </c>
      <c r="H50" s="19"/>
      <c r="I50" s="36">
        <v>0.2</v>
      </c>
      <c r="J50" s="19"/>
      <c r="K50" s="14"/>
    </row>
    <row r="51" spans="3:11" x14ac:dyDescent="0.2">
      <c r="C51" s="16" t="s">
        <v>118</v>
      </c>
      <c r="D51" s="15"/>
      <c r="E51" s="60"/>
      <c r="F51" s="59" t="s">
        <v>115</v>
      </c>
      <c r="G51" s="36">
        <v>50</v>
      </c>
      <c r="H51" s="19"/>
      <c r="I51" s="36">
        <v>0.2</v>
      </c>
      <c r="J51" s="19"/>
      <c r="K51" s="14"/>
    </row>
    <row r="52" spans="3:11" x14ac:dyDescent="0.2">
      <c r="C52" s="16" t="s">
        <v>117</v>
      </c>
      <c r="D52" s="15"/>
      <c r="E52" s="60"/>
      <c r="F52" s="61"/>
      <c r="G52" s="36"/>
      <c r="H52" s="19"/>
      <c r="I52" s="36"/>
      <c r="J52" s="19"/>
      <c r="K52" s="14"/>
    </row>
    <row r="53" spans="3:11" x14ac:dyDescent="0.2">
      <c r="C53" s="16" t="s">
        <v>111</v>
      </c>
      <c r="D53" s="15"/>
      <c r="E53" s="60"/>
      <c r="F53" s="59" t="s">
        <v>115</v>
      </c>
      <c r="G53" s="36">
        <v>50</v>
      </c>
      <c r="H53" s="19"/>
      <c r="I53" s="36">
        <v>0.2</v>
      </c>
      <c r="J53" s="19"/>
      <c r="K53" s="14"/>
    </row>
    <row r="54" spans="3:11" x14ac:dyDescent="0.2">
      <c r="C54" s="16" t="s">
        <v>116</v>
      </c>
      <c r="D54" s="15"/>
      <c r="E54" s="60"/>
      <c r="F54" s="59" t="s">
        <v>115</v>
      </c>
      <c r="G54" s="36">
        <v>6</v>
      </c>
      <c r="H54" s="19"/>
      <c r="I54" s="36">
        <v>0.1</v>
      </c>
      <c r="J54" s="19"/>
      <c r="K54" s="14"/>
    </row>
    <row r="55" spans="3:11" x14ac:dyDescent="0.2">
      <c r="C55" s="16" t="s">
        <v>114</v>
      </c>
      <c r="D55" s="15"/>
      <c r="E55" s="60"/>
      <c r="F55" s="59" t="s">
        <v>113</v>
      </c>
      <c r="G55" s="36">
        <v>25</v>
      </c>
      <c r="H55" s="19"/>
      <c r="I55" s="36">
        <v>0.1</v>
      </c>
      <c r="J55" s="19"/>
      <c r="K55" s="14"/>
    </row>
    <row r="56" spans="3:11" x14ac:dyDescent="0.2">
      <c r="C56" s="16" t="s">
        <v>112</v>
      </c>
      <c r="D56" s="15"/>
      <c r="E56" s="60"/>
      <c r="F56" s="61"/>
      <c r="G56" s="36"/>
      <c r="H56" s="19"/>
      <c r="I56" s="36"/>
      <c r="J56" s="19"/>
      <c r="K56" s="14"/>
    </row>
    <row r="57" spans="3:11" x14ac:dyDescent="0.2">
      <c r="C57" s="16" t="s">
        <v>111</v>
      </c>
      <c r="D57" s="15"/>
      <c r="E57" s="60"/>
      <c r="F57" s="59" t="s">
        <v>110</v>
      </c>
      <c r="G57" s="36">
        <v>2</v>
      </c>
      <c r="H57" s="19"/>
      <c r="I57" s="58">
        <v>0.02</v>
      </c>
      <c r="J57" s="19"/>
      <c r="K57" s="14"/>
    </row>
    <row r="58" spans="3:11" x14ac:dyDescent="0.2">
      <c r="C58" s="57" t="s">
        <v>109</v>
      </c>
      <c r="D58" s="56"/>
      <c r="E58" s="55"/>
      <c r="F58" s="54" t="s">
        <v>108</v>
      </c>
      <c r="G58" s="53">
        <v>480</v>
      </c>
      <c r="H58" s="17"/>
      <c r="I58" s="52">
        <v>4</v>
      </c>
      <c r="J58" s="17"/>
      <c r="K58" s="14"/>
    </row>
    <row r="59" spans="3:11" x14ac:dyDescent="0.2">
      <c r="C59" s="16"/>
      <c r="D59" s="15"/>
      <c r="E59" s="15"/>
      <c r="F59" s="15"/>
      <c r="G59" s="15"/>
      <c r="H59" s="15"/>
      <c r="I59" s="15"/>
      <c r="J59" s="15"/>
      <c r="K59" s="14"/>
    </row>
    <row r="60" spans="3:11" x14ac:dyDescent="0.2">
      <c r="C60" s="16" t="s">
        <v>107</v>
      </c>
      <c r="D60" s="15"/>
      <c r="E60" s="15"/>
      <c r="F60" s="15"/>
      <c r="G60" s="15"/>
      <c r="H60" s="15"/>
      <c r="I60" s="15"/>
      <c r="J60" s="15"/>
      <c r="K60" s="14"/>
    </row>
    <row r="61" spans="3:11" ht="13.5" thickBot="1" x14ac:dyDescent="0.25">
      <c r="C61" s="13"/>
      <c r="D61" s="12"/>
      <c r="E61" s="12"/>
      <c r="F61" s="12"/>
      <c r="G61" s="12"/>
      <c r="H61" s="12"/>
      <c r="I61" s="12"/>
      <c r="J61" s="12"/>
      <c r="K61" s="11"/>
    </row>
    <row r="62" spans="3:11" x14ac:dyDescent="0.2">
      <c r="C62" s="51"/>
      <c r="D62" s="50"/>
      <c r="E62" s="50"/>
      <c r="F62" s="50"/>
      <c r="G62" s="50"/>
      <c r="H62" s="50"/>
      <c r="I62" s="50"/>
      <c r="J62" s="50"/>
      <c r="K62" s="49"/>
    </row>
    <row r="63" spans="3:11" ht="12.75" customHeight="1" x14ac:dyDescent="0.2">
      <c r="C63" s="34" t="s">
        <v>106</v>
      </c>
      <c r="D63" s="48" t="s">
        <v>105</v>
      </c>
      <c r="E63" s="48"/>
      <c r="F63" s="48"/>
      <c r="G63" s="15"/>
      <c r="H63" s="48" t="s">
        <v>104</v>
      </c>
      <c r="I63" s="33"/>
      <c r="J63" s="33"/>
      <c r="K63" s="14"/>
    </row>
    <row r="64" spans="3:11" x14ac:dyDescent="0.2">
      <c r="C64" s="34" t="s">
        <v>103</v>
      </c>
      <c r="D64" s="48"/>
      <c r="E64" s="48"/>
      <c r="F64" s="48"/>
      <c r="G64" s="15"/>
      <c r="H64" s="48" t="s">
        <v>102</v>
      </c>
      <c r="I64" s="33"/>
      <c r="J64" s="33"/>
      <c r="K64" s="14"/>
    </row>
    <row r="65" spans="3:12" x14ac:dyDescent="0.2">
      <c r="C65" s="32" t="s">
        <v>101</v>
      </c>
      <c r="D65" s="30"/>
      <c r="E65" s="47" t="s">
        <v>100</v>
      </c>
      <c r="F65" s="46"/>
      <c r="G65" s="15"/>
      <c r="H65" s="45" t="s">
        <v>99</v>
      </c>
      <c r="I65" s="30" t="s">
        <v>98</v>
      </c>
      <c r="J65" s="45" t="s">
        <v>98</v>
      </c>
      <c r="K65" s="14"/>
    </row>
    <row r="66" spans="3:12" x14ac:dyDescent="0.2">
      <c r="C66" s="25" t="s">
        <v>97</v>
      </c>
      <c r="D66" s="24"/>
      <c r="E66" s="23" t="s">
        <v>96</v>
      </c>
      <c r="F66" s="23" t="s">
        <v>95</v>
      </c>
      <c r="G66" s="15"/>
      <c r="H66" s="44" t="s">
        <v>94</v>
      </c>
      <c r="I66" s="28" t="s">
        <v>93</v>
      </c>
      <c r="J66" s="44" t="s">
        <v>92</v>
      </c>
      <c r="K66" s="14"/>
    </row>
    <row r="67" spans="3:12" x14ac:dyDescent="0.2">
      <c r="C67" s="20" t="s">
        <v>91</v>
      </c>
      <c r="D67" s="19"/>
      <c r="E67" s="109" t="s">
        <v>90</v>
      </c>
      <c r="F67" s="19">
        <v>24</v>
      </c>
      <c r="G67" s="15"/>
      <c r="H67" s="43" t="s">
        <v>89</v>
      </c>
      <c r="I67" s="26" t="s">
        <v>88</v>
      </c>
      <c r="J67" s="43" t="s">
        <v>88</v>
      </c>
      <c r="K67" s="14"/>
    </row>
    <row r="68" spans="3:12" x14ac:dyDescent="0.2">
      <c r="C68" s="20" t="s">
        <v>87</v>
      </c>
      <c r="D68" s="19"/>
      <c r="E68" s="19">
        <v>0.92</v>
      </c>
      <c r="F68" s="19">
        <v>22</v>
      </c>
      <c r="G68" s="15"/>
      <c r="H68" s="41"/>
      <c r="I68" s="42"/>
      <c r="J68" s="41"/>
      <c r="K68" s="14"/>
    </row>
    <row r="69" spans="3:12" x14ac:dyDescent="0.2">
      <c r="C69" s="20" t="s">
        <v>86</v>
      </c>
      <c r="D69" s="19"/>
      <c r="E69" s="19">
        <v>0.83</v>
      </c>
      <c r="F69" s="380">
        <v>20</v>
      </c>
      <c r="G69" s="381"/>
      <c r="H69" s="382" t="s">
        <v>85</v>
      </c>
      <c r="I69" s="383" t="s">
        <v>84</v>
      </c>
      <c r="J69" s="382" t="s">
        <v>83</v>
      </c>
      <c r="K69" s="384"/>
      <c r="L69" s="212"/>
    </row>
    <row r="70" spans="3:12" x14ac:dyDescent="0.2">
      <c r="C70" s="20" t="s">
        <v>82</v>
      </c>
      <c r="D70" s="19"/>
      <c r="E70" s="19">
        <v>0.75</v>
      </c>
      <c r="F70" s="380">
        <v>18</v>
      </c>
      <c r="G70" s="381"/>
      <c r="H70" s="382" t="s">
        <v>81</v>
      </c>
      <c r="I70" s="383">
        <v>1.25</v>
      </c>
      <c r="J70" s="382"/>
      <c r="K70" s="384"/>
      <c r="L70" s="212"/>
    </row>
    <row r="71" spans="3:12" x14ac:dyDescent="0.2">
      <c r="C71" s="20" t="s">
        <v>80</v>
      </c>
      <c r="D71" s="19"/>
      <c r="E71" s="19">
        <v>0.67</v>
      </c>
      <c r="F71" s="19">
        <v>16</v>
      </c>
      <c r="G71" s="15"/>
      <c r="H71" s="39" t="s">
        <v>79</v>
      </c>
      <c r="I71" s="40" t="s">
        <v>78</v>
      </c>
      <c r="J71" s="39" t="s">
        <v>77</v>
      </c>
      <c r="K71" s="14"/>
    </row>
    <row r="72" spans="3:12" x14ac:dyDescent="0.2">
      <c r="C72" s="20" t="s">
        <v>76</v>
      </c>
      <c r="D72" s="19"/>
      <c r="E72" s="19">
        <v>0.57999999999999996</v>
      </c>
      <c r="F72" s="19">
        <v>14</v>
      </c>
      <c r="G72" s="15"/>
      <c r="H72" s="39"/>
      <c r="I72" s="40"/>
      <c r="J72" s="39"/>
      <c r="K72" s="14"/>
    </row>
    <row r="73" spans="3:12" x14ac:dyDescent="0.2">
      <c r="C73" s="20" t="s">
        <v>75</v>
      </c>
      <c r="D73" s="17"/>
      <c r="E73" s="17">
        <v>0.5</v>
      </c>
      <c r="F73" s="17">
        <v>12</v>
      </c>
      <c r="G73" s="15"/>
      <c r="H73" s="37" t="s">
        <v>74</v>
      </c>
      <c r="I73" s="38" t="s">
        <v>73</v>
      </c>
      <c r="J73" s="37" t="s">
        <v>72</v>
      </c>
      <c r="K73" s="14"/>
    </row>
    <row r="74" spans="3:12" x14ac:dyDescent="0.2">
      <c r="C74" s="20"/>
      <c r="D74" s="36"/>
      <c r="E74" s="36"/>
      <c r="F74" s="36"/>
      <c r="G74" s="15"/>
      <c r="H74" s="35"/>
      <c r="I74" s="35"/>
      <c r="J74" s="35"/>
      <c r="K74" s="14"/>
    </row>
    <row r="75" spans="3:12" x14ac:dyDescent="0.2">
      <c r="C75" s="20"/>
      <c r="D75" s="36"/>
      <c r="E75" s="36"/>
      <c r="F75" s="36"/>
      <c r="G75" s="15"/>
      <c r="H75" s="35"/>
      <c r="I75" s="35"/>
      <c r="J75" s="35"/>
      <c r="K75" s="14"/>
    </row>
    <row r="76" spans="3:12" x14ac:dyDescent="0.2">
      <c r="C76" s="34" t="s">
        <v>71</v>
      </c>
      <c r="D76" s="33"/>
      <c r="E76" s="33"/>
      <c r="F76" s="33"/>
      <c r="G76" s="33"/>
      <c r="H76" s="15"/>
      <c r="I76" s="15"/>
      <c r="J76" s="15"/>
      <c r="K76" s="14"/>
    </row>
    <row r="77" spans="3:12" x14ac:dyDescent="0.2">
      <c r="C77" s="34" t="s">
        <v>70</v>
      </c>
      <c r="D77" s="33"/>
      <c r="E77" s="33"/>
      <c r="F77" s="33"/>
      <c r="G77" s="33"/>
      <c r="H77" s="15"/>
      <c r="I77" s="15"/>
      <c r="J77" s="15"/>
      <c r="K77" s="14"/>
    </row>
    <row r="78" spans="3:12" x14ac:dyDescent="0.2">
      <c r="C78" s="32" t="s">
        <v>69</v>
      </c>
      <c r="D78" s="30"/>
      <c r="E78" s="31" t="s">
        <v>68</v>
      </c>
      <c r="F78" s="31"/>
      <c r="G78" s="30"/>
      <c r="H78" s="15"/>
      <c r="I78" s="15"/>
      <c r="J78" s="15"/>
      <c r="K78" s="14"/>
    </row>
    <row r="79" spans="3:12" x14ac:dyDescent="0.2">
      <c r="C79" s="29" t="s">
        <v>67</v>
      </c>
      <c r="D79" s="28"/>
      <c r="E79" s="27" t="s">
        <v>66</v>
      </c>
      <c r="F79" s="27"/>
      <c r="G79" s="26"/>
      <c r="H79" s="903" t="s">
        <v>712</v>
      </c>
      <c r="I79" s="904"/>
      <c r="J79" s="904"/>
      <c r="K79" s="14"/>
    </row>
    <row r="80" spans="3:12" x14ac:dyDescent="0.2">
      <c r="C80" s="25"/>
      <c r="D80" s="24"/>
      <c r="E80" s="23" t="s">
        <v>65</v>
      </c>
      <c r="F80" s="23" t="s">
        <v>64</v>
      </c>
      <c r="G80" s="23" t="s">
        <v>63</v>
      </c>
      <c r="H80" s="905"/>
      <c r="I80" s="904"/>
      <c r="J80" s="904"/>
      <c r="K80" s="14"/>
    </row>
    <row r="81" spans="3:11" x14ac:dyDescent="0.2">
      <c r="C81" s="22">
        <v>1</v>
      </c>
      <c r="D81" s="21"/>
      <c r="E81" s="21">
        <v>94</v>
      </c>
      <c r="F81" s="21">
        <v>65</v>
      </c>
      <c r="G81" s="21">
        <v>57</v>
      </c>
      <c r="H81" s="905"/>
      <c r="I81" s="904"/>
      <c r="J81" s="904"/>
      <c r="K81" s="14"/>
    </row>
    <row r="82" spans="3:11" x14ac:dyDescent="0.2">
      <c r="C82" s="20">
        <v>2</v>
      </c>
      <c r="D82" s="19"/>
      <c r="E82" s="19">
        <v>134</v>
      </c>
      <c r="F82" s="19">
        <v>105</v>
      </c>
      <c r="G82" s="19">
        <v>97</v>
      </c>
      <c r="H82" s="15"/>
      <c r="I82" s="381"/>
      <c r="J82" s="15"/>
      <c r="K82" s="14"/>
    </row>
    <row r="83" spans="3:11" x14ac:dyDescent="0.2">
      <c r="C83" s="20">
        <v>3</v>
      </c>
      <c r="D83" s="19"/>
      <c r="E83" s="19">
        <v>174</v>
      </c>
      <c r="F83" s="19">
        <v>145</v>
      </c>
      <c r="G83" s="19">
        <v>137</v>
      </c>
      <c r="H83" s="15"/>
      <c r="I83" s="381"/>
      <c r="J83" s="15"/>
      <c r="K83" s="14"/>
    </row>
    <row r="84" spans="3:11" x14ac:dyDescent="0.2">
      <c r="C84" s="20">
        <v>4</v>
      </c>
      <c r="D84" s="19"/>
      <c r="E84" s="19">
        <v>214</v>
      </c>
      <c r="F84" s="19">
        <v>185</v>
      </c>
      <c r="G84" s="19">
        <v>177</v>
      </c>
      <c r="H84" s="15"/>
      <c r="I84" s="381"/>
      <c r="J84" s="15"/>
      <c r="K84" s="14"/>
    </row>
    <row r="85" spans="3:11" x14ac:dyDescent="0.2">
      <c r="C85" s="18">
        <v>5</v>
      </c>
      <c r="D85" s="17"/>
      <c r="E85" s="17">
        <v>254</v>
      </c>
      <c r="F85" s="17">
        <v>225</v>
      </c>
      <c r="G85" s="17">
        <v>217</v>
      </c>
      <c r="H85" s="15"/>
      <c r="I85" s="381"/>
      <c r="J85" s="15"/>
      <c r="K85" s="14"/>
    </row>
    <row r="86" spans="3:11" x14ac:dyDescent="0.2">
      <c r="C86" s="16"/>
      <c r="D86" s="15"/>
      <c r="E86" s="15"/>
      <c r="F86" s="15"/>
      <c r="G86" s="15"/>
      <c r="H86" s="15"/>
      <c r="I86" s="15"/>
      <c r="J86" s="15"/>
      <c r="K86" s="14"/>
    </row>
    <row r="87" spans="3:11" ht="13.5" thickBot="1" x14ac:dyDescent="0.25">
      <c r="C87" s="13"/>
      <c r="D87" s="12"/>
      <c r="E87" s="12"/>
      <c r="F87" s="12"/>
      <c r="G87" s="12"/>
      <c r="H87" s="12"/>
      <c r="I87" s="12"/>
      <c r="J87" s="12"/>
      <c r="K87" s="11"/>
    </row>
  </sheetData>
  <mergeCells count="12">
    <mergeCell ref="H79:J81"/>
    <mergeCell ref="C5:K5"/>
    <mergeCell ref="C6:K6"/>
    <mergeCell ref="C7:K7"/>
    <mergeCell ref="C37:J38"/>
    <mergeCell ref="G14:I14"/>
    <mergeCell ref="G15:I15"/>
    <mergeCell ref="G16:I16"/>
    <mergeCell ref="C27:F27"/>
    <mergeCell ref="H32:J32"/>
    <mergeCell ref="H33:J34"/>
    <mergeCell ref="D11:I11"/>
  </mergeCells>
  <printOptions horizontalCentered="1"/>
  <pageMargins left="0.78740157480314965" right="0.78740157480314965" top="0.98425196850393704" bottom="0.98425196850393704" header="0.51181102362204722" footer="0.51181102362204722"/>
  <pageSetup paperSize="9" scale="68" firstPageNumber="44" orientation="portrait" verticalDpi="300" r:id="rId1"/>
  <headerFooter alignWithMargins="0"/>
  <rowBreaks count="1" manualBreakCount="1">
    <brk id="61" min="2"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M27"/>
  <sheetViews>
    <sheetView tabSelected="1" workbookViewId="0">
      <selection activeCell="N8" sqref="N8"/>
    </sheetView>
  </sheetViews>
  <sheetFormatPr defaultRowHeight="12.75" x14ac:dyDescent="0.2"/>
  <cols>
    <col min="1" max="1" width="5.28515625" style="2" customWidth="1"/>
    <col min="2" max="2" width="7.140625" style="2" customWidth="1"/>
    <col min="3" max="3" width="61.42578125" style="2" customWidth="1"/>
    <col min="4" max="4" width="6" style="2" customWidth="1"/>
    <col min="5" max="5" width="7" style="260" customWidth="1"/>
    <col min="6" max="6" width="9.140625" style="231"/>
    <col min="7" max="7" width="13.28515625" style="231" customWidth="1"/>
    <col min="8" max="8" width="15" style="2" customWidth="1"/>
    <col min="9" max="16384" width="9.140625" style="2"/>
  </cols>
  <sheetData>
    <row r="1" spans="1:11" s="5" customFormat="1" ht="51.75" customHeight="1" thickBot="1" x14ac:dyDescent="0.25">
      <c r="A1" s="890"/>
      <c r="B1" s="891"/>
      <c r="C1" s="891"/>
      <c r="D1" s="891"/>
      <c r="E1" s="891"/>
      <c r="F1" s="891"/>
      <c r="G1" s="891"/>
      <c r="H1" s="892"/>
    </row>
    <row r="2" spans="1:11" s="5" customFormat="1" ht="17.100000000000001" customHeight="1" x14ac:dyDescent="0.2">
      <c r="A2" s="893" t="s">
        <v>870</v>
      </c>
      <c r="B2" s="894"/>
      <c r="C2" s="894"/>
      <c r="D2" s="894"/>
      <c r="E2" s="894"/>
      <c r="F2" s="894"/>
      <c r="G2" s="894"/>
      <c r="H2" s="895"/>
    </row>
    <row r="3" spans="1:11" s="5" customFormat="1" ht="17.100000000000001" customHeight="1" x14ac:dyDescent="0.2">
      <c r="A3" s="896" t="s">
        <v>277</v>
      </c>
      <c r="B3" s="815"/>
      <c r="C3" s="815" t="e">
        <f>#REF!</f>
        <v>#REF!</v>
      </c>
      <c r="D3" s="815"/>
      <c r="E3" s="827" t="s">
        <v>339</v>
      </c>
      <c r="F3" s="827"/>
      <c r="G3" s="897" t="e">
        <f>#REF!</f>
        <v>#REF!</v>
      </c>
      <c r="H3" s="898"/>
    </row>
    <row r="4" spans="1:11" s="5" customFormat="1" ht="17.100000000000001" customHeight="1" thickBot="1" x14ac:dyDescent="0.25">
      <c r="A4" s="896" t="s">
        <v>333</v>
      </c>
      <c r="B4" s="815"/>
      <c r="C4" s="815" t="e">
        <f>#REF!</f>
        <v>#REF!</v>
      </c>
      <c r="D4" s="815"/>
      <c r="E4" s="827" t="s">
        <v>338</v>
      </c>
      <c r="F4" s="827"/>
      <c r="G4" s="817" t="e">
        <f>#REF!</f>
        <v>#REF!</v>
      </c>
      <c r="H4" s="818"/>
    </row>
    <row r="5" spans="1:11" s="5" customFormat="1" ht="17.100000000000001" customHeight="1" thickBot="1" x14ac:dyDescent="0.25">
      <c r="A5" s="877"/>
      <c r="B5" s="878"/>
      <c r="C5" s="878"/>
      <c r="D5" s="878"/>
      <c r="E5" s="878"/>
      <c r="F5" s="878"/>
      <c r="G5" s="878"/>
      <c r="H5" s="879"/>
    </row>
    <row r="6" spans="1:11" ht="17.100000000000001" customHeight="1" thickBot="1" x14ac:dyDescent="0.25">
      <c r="A6" s="884" t="s">
        <v>242</v>
      </c>
      <c r="B6" s="885"/>
      <c r="C6" s="885"/>
      <c r="D6" s="936"/>
      <c r="E6" s="936"/>
      <c r="F6" s="936"/>
      <c r="G6" s="936"/>
      <c r="H6" s="314"/>
    </row>
    <row r="7" spans="1:11" ht="30" customHeight="1" thickBot="1" x14ac:dyDescent="0.25">
      <c r="A7" s="223" t="s">
        <v>0</v>
      </c>
      <c r="B7" s="880" t="s">
        <v>1</v>
      </c>
      <c r="C7" s="881"/>
      <c r="D7" s="757" t="s">
        <v>2</v>
      </c>
      <c r="E7" s="310" t="s">
        <v>3</v>
      </c>
      <c r="F7" s="311" t="s">
        <v>4</v>
      </c>
      <c r="G7" s="310" t="s">
        <v>5</v>
      </c>
      <c r="H7" s="312" t="s">
        <v>275</v>
      </c>
    </row>
    <row r="8" spans="1:11" ht="17.100000000000001" customHeight="1" thickBot="1" x14ac:dyDescent="0.25">
      <c r="A8" s="285">
        <v>1</v>
      </c>
      <c r="B8" s="887" t="s">
        <v>359</v>
      </c>
      <c r="C8" s="888"/>
      <c r="D8" s="304"/>
      <c r="E8" s="307"/>
      <c r="F8" s="305"/>
      <c r="G8" s="305"/>
      <c r="H8" s="306"/>
    </row>
    <row r="9" spans="1:11" ht="25.5" customHeight="1" x14ac:dyDescent="0.2">
      <c r="A9" s="621" t="s">
        <v>6</v>
      </c>
      <c r="B9" s="950" t="s">
        <v>564</v>
      </c>
      <c r="C9" s="951"/>
      <c r="D9" s="315" t="s">
        <v>10</v>
      </c>
      <c r="E9" s="622">
        <f>'6A.1 Fossa Mem. CAL.'!D4</f>
        <v>3.7816727256</v>
      </c>
      <c r="F9" s="740">
        <v>78.239999999999995</v>
      </c>
      <c r="G9" s="624">
        <f t="shared" ref="G9:G23" si="0">ROUND(E9*F9,2)</f>
        <v>295.88</v>
      </c>
      <c r="H9" s="625">
        <v>93358</v>
      </c>
    </row>
    <row r="10" spans="1:11" ht="25.5" customHeight="1" x14ac:dyDescent="0.2">
      <c r="A10" s="1" t="s">
        <v>8</v>
      </c>
      <c r="B10" s="937" t="s">
        <v>610</v>
      </c>
      <c r="C10" s="947"/>
      <c r="D10" s="755" t="s">
        <v>7</v>
      </c>
      <c r="E10" s="4">
        <f>'6A.1 Fossa Mem. CAL.'!J36</f>
        <v>8.4597004800000004</v>
      </c>
      <c r="F10" s="741">
        <v>19.260000000000002</v>
      </c>
      <c r="G10" s="277">
        <f>E10*F10</f>
        <v>162.93383124480002</v>
      </c>
      <c r="H10" s="224">
        <v>101572</v>
      </c>
    </row>
    <row r="11" spans="1:11" ht="25.5" customHeight="1" x14ac:dyDescent="0.2">
      <c r="A11" s="354" t="s">
        <v>23</v>
      </c>
      <c r="B11" s="853" t="s">
        <v>657</v>
      </c>
      <c r="C11" s="854"/>
      <c r="D11" s="443" t="s">
        <v>52</v>
      </c>
      <c r="E11" s="255">
        <v>0.1</v>
      </c>
      <c r="F11" s="722">
        <v>213.38</v>
      </c>
      <c r="G11" s="273">
        <f>E11*F11</f>
        <v>21.338000000000001</v>
      </c>
      <c r="H11" s="769">
        <v>101619</v>
      </c>
    </row>
    <row r="12" spans="1:11" ht="25.5" customHeight="1" x14ac:dyDescent="0.2">
      <c r="A12" s="354" t="s">
        <v>24</v>
      </c>
      <c r="B12" s="937" t="s">
        <v>618</v>
      </c>
      <c r="C12" s="938"/>
      <c r="D12" s="755" t="s">
        <v>7</v>
      </c>
      <c r="E12" s="4">
        <f>'6A.1 Fossa Mem. CAL.'!D39</f>
        <v>1.83854286</v>
      </c>
      <c r="F12" s="739">
        <v>25.46</v>
      </c>
      <c r="G12" s="280">
        <f>ROUND(E12*F12,2)</f>
        <v>46.81</v>
      </c>
      <c r="H12" s="263">
        <v>95241</v>
      </c>
    </row>
    <row r="13" spans="1:11" ht="38.450000000000003" customHeight="1" x14ac:dyDescent="0.2">
      <c r="A13" s="354" t="s">
        <v>25</v>
      </c>
      <c r="B13" s="856" t="s">
        <v>874</v>
      </c>
      <c r="C13" s="856"/>
      <c r="D13" s="755" t="s">
        <v>7</v>
      </c>
      <c r="E13" s="4">
        <f>'6A.1 Fossa Mem. CAL.'!D45</f>
        <v>5.8528008000000007</v>
      </c>
      <c r="F13" s="722">
        <v>112.45</v>
      </c>
      <c r="G13" s="280">
        <f t="shared" si="0"/>
        <v>658.15</v>
      </c>
      <c r="H13" s="770">
        <v>103333</v>
      </c>
    </row>
    <row r="14" spans="1:11" ht="38.450000000000003" customHeight="1" x14ac:dyDescent="0.2">
      <c r="A14" s="354" t="s">
        <v>26</v>
      </c>
      <c r="B14" s="800" t="s">
        <v>878</v>
      </c>
      <c r="C14" s="800"/>
      <c r="D14" s="755" t="s">
        <v>7</v>
      </c>
      <c r="E14" s="4">
        <f>'6A.1 Fossa Mem. CAL.'!D53</f>
        <v>2.2013191200000004</v>
      </c>
      <c r="F14" s="722">
        <v>135.05000000000001</v>
      </c>
      <c r="G14" s="280">
        <f t="shared" si="0"/>
        <v>297.29000000000002</v>
      </c>
      <c r="H14" s="761">
        <v>103334</v>
      </c>
      <c r="I14" s="262"/>
    </row>
    <row r="15" spans="1:11" ht="38.450000000000003" customHeight="1" x14ac:dyDescent="0.2">
      <c r="A15" s="354" t="s">
        <v>27</v>
      </c>
      <c r="B15" s="800" t="s">
        <v>875</v>
      </c>
      <c r="C15" s="800"/>
      <c r="D15" s="222" t="s">
        <v>7</v>
      </c>
      <c r="E15" s="254">
        <f>'6A.1 Fossa Mem. CAL.'!D61</f>
        <v>10.502682960000001</v>
      </c>
      <c r="F15" s="722">
        <v>4.24</v>
      </c>
      <c r="G15" s="280">
        <f t="shared" si="0"/>
        <v>44.53</v>
      </c>
      <c r="H15" s="263">
        <v>87878</v>
      </c>
      <c r="I15" s="213"/>
      <c r="J15" s="5"/>
      <c r="K15" s="5"/>
    </row>
    <row r="16" spans="1:11" ht="42" customHeight="1" x14ac:dyDescent="0.2">
      <c r="A16" s="354" t="s">
        <v>34</v>
      </c>
      <c r="B16" s="800" t="s">
        <v>876</v>
      </c>
      <c r="C16" s="800"/>
      <c r="D16" s="755" t="s">
        <v>7</v>
      </c>
      <c r="E16" s="4">
        <f>'6A.1 Fossa Mem. CAL.'!D79</f>
        <v>11.552951256000002</v>
      </c>
      <c r="F16" s="733">
        <v>35.28</v>
      </c>
      <c r="G16" s="280">
        <f t="shared" si="0"/>
        <v>407.59</v>
      </c>
      <c r="H16" s="771">
        <v>87530</v>
      </c>
    </row>
    <row r="17" spans="1:13" ht="17.100000000000001" customHeight="1" x14ac:dyDescent="0.2">
      <c r="A17" s="354" t="s">
        <v>40</v>
      </c>
      <c r="B17" s="939" t="s">
        <v>891</v>
      </c>
      <c r="C17" s="940"/>
      <c r="D17" s="3" t="s">
        <v>22</v>
      </c>
      <c r="E17" s="485">
        <v>1</v>
      </c>
      <c r="F17" s="739">
        <v>11.53</v>
      </c>
      <c r="G17" s="280">
        <f t="shared" si="0"/>
        <v>11.53</v>
      </c>
      <c r="H17" s="742" t="s">
        <v>890</v>
      </c>
    </row>
    <row r="18" spans="1:13" ht="28.5" customHeight="1" x14ac:dyDescent="0.2">
      <c r="A18" s="354" t="s">
        <v>58</v>
      </c>
      <c r="B18" s="937" t="s">
        <v>319</v>
      </c>
      <c r="C18" s="947"/>
      <c r="D18" s="373" t="s">
        <v>33</v>
      </c>
      <c r="E18" s="4">
        <v>0.2</v>
      </c>
      <c r="F18" s="739">
        <v>60.33</v>
      </c>
      <c r="G18" s="280">
        <f t="shared" si="0"/>
        <v>12.07</v>
      </c>
      <c r="H18" s="251">
        <v>89714</v>
      </c>
    </row>
    <row r="19" spans="1:13" ht="27.75" customHeight="1" x14ac:dyDescent="0.2">
      <c r="A19" s="354" t="s">
        <v>59</v>
      </c>
      <c r="B19" s="800" t="s">
        <v>892</v>
      </c>
      <c r="C19" s="800"/>
      <c r="D19" s="443" t="s">
        <v>52</v>
      </c>
      <c r="E19" s="255">
        <f>'6A.1 Fossa Mem. CAL.'!D85</f>
        <v>0.1027559764</v>
      </c>
      <c r="F19" s="722">
        <v>1914.39</v>
      </c>
      <c r="G19" s="273">
        <f>E19*F19</f>
        <v>196.71501366039601</v>
      </c>
      <c r="H19" s="263">
        <v>97740</v>
      </c>
    </row>
    <row r="20" spans="1:13" ht="17.100000000000001" customHeight="1" thickBot="1" x14ac:dyDescent="0.25">
      <c r="A20" s="772" t="s">
        <v>745</v>
      </c>
      <c r="B20" s="948" t="s">
        <v>732</v>
      </c>
      <c r="C20" s="949"/>
      <c r="D20" s="773" t="s">
        <v>52</v>
      </c>
      <c r="E20" s="774">
        <f>'6A.1 Fossa Mem. CAL.'!D91</f>
        <v>0.35939904000000006</v>
      </c>
      <c r="F20" s="775">
        <v>47.44</v>
      </c>
      <c r="G20" s="776">
        <f>E20*F20</f>
        <v>17.049890457600004</v>
      </c>
      <c r="H20" s="777">
        <v>96995</v>
      </c>
    </row>
    <row r="21" spans="1:13" ht="29.25" hidden="1" customHeight="1" x14ac:dyDescent="0.2">
      <c r="A21" s="354" t="s">
        <v>887</v>
      </c>
      <c r="B21" s="941" t="s">
        <v>409</v>
      </c>
      <c r="C21" s="942"/>
      <c r="D21" s="765" t="s">
        <v>10</v>
      </c>
      <c r="E21" s="766">
        <v>0.21887528959999999</v>
      </c>
      <c r="F21" s="767"/>
      <c r="G21" s="434">
        <f t="shared" si="0"/>
        <v>0</v>
      </c>
      <c r="H21" s="768">
        <v>92262</v>
      </c>
      <c r="I21" s="437"/>
      <c r="J21" s="437"/>
      <c r="K21" s="437"/>
      <c r="L21" s="438"/>
      <c r="M21" s="436"/>
    </row>
    <row r="22" spans="1:13" ht="17.100000000000001" hidden="1" customHeight="1" x14ac:dyDescent="0.2">
      <c r="A22" s="354" t="s">
        <v>888</v>
      </c>
      <c r="B22" s="943" t="s">
        <v>321</v>
      </c>
      <c r="C22" s="944"/>
      <c r="D22" s="432" t="s">
        <v>22</v>
      </c>
      <c r="E22" s="435">
        <v>0.10887528959999999</v>
      </c>
      <c r="F22" s="433"/>
      <c r="G22" s="434">
        <f t="shared" si="0"/>
        <v>0</v>
      </c>
      <c r="H22" s="626" t="s">
        <v>41</v>
      </c>
      <c r="I22" s="436"/>
      <c r="J22" s="436"/>
      <c r="K22" s="436"/>
      <c r="L22" s="439"/>
      <c r="M22" s="436"/>
    </row>
    <row r="23" spans="1:13" ht="30" hidden="1" customHeight="1" thickBot="1" x14ac:dyDescent="0.25">
      <c r="A23" s="354" t="s">
        <v>889</v>
      </c>
      <c r="B23" s="945" t="s">
        <v>170</v>
      </c>
      <c r="C23" s="946"/>
      <c r="D23" s="627" t="s">
        <v>10</v>
      </c>
      <c r="E23" s="628">
        <v>0.10887528959999999</v>
      </c>
      <c r="F23" s="629"/>
      <c r="G23" s="630">
        <f t="shared" si="0"/>
        <v>0</v>
      </c>
      <c r="H23" s="631">
        <v>94975</v>
      </c>
      <c r="I23" s="934"/>
      <c r="J23" s="934"/>
      <c r="K23" s="934"/>
      <c r="L23" s="935"/>
    </row>
    <row r="24" spans="1:13" ht="17.100000000000001" customHeight="1" thickBot="1" x14ac:dyDescent="0.25">
      <c r="A24" s="873" t="s">
        <v>21</v>
      </c>
      <c r="B24" s="874"/>
      <c r="C24" s="874"/>
      <c r="D24" s="874"/>
      <c r="E24" s="874"/>
      <c r="F24" s="874"/>
      <c r="G24" s="303">
        <f>SUM(G9:G23)</f>
        <v>2171.8867353627961</v>
      </c>
      <c r="H24" s="322"/>
      <c r="K24" s="262"/>
    </row>
    <row r="25" spans="1:13" ht="38.25" customHeight="1" x14ac:dyDescent="0.2">
      <c r="E25" s="2"/>
      <c r="F25" s="2"/>
      <c r="G25" s="2"/>
    </row>
    <row r="27" spans="1:13" ht="52.5" customHeight="1" x14ac:dyDescent="0.2">
      <c r="C27" s="875" t="s">
        <v>269</v>
      </c>
      <c r="D27" s="876"/>
      <c r="E27" s="876"/>
      <c r="F27" s="876"/>
      <c r="G27" s="876"/>
      <c r="H27" s="876"/>
    </row>
  </sheetData>
  <sheetProtection selectLockedCells="1" selectUnlockedCells="1"/>
  <mergeCells count="32">
    <mergeCell ref="A5:H5"/>
    <mergeCell ref="B8:C8"/>
    <mergeCell ref="B9:C9"/>
    <mergeCell ref="B13:C13"/>
    <mergeCell ref="B14:C14"/>
    <mergeCell ref="B7:C7"/>
    <mergeCell ref="B10:C10"/>
    <mergeCell ref="A1:H1"/>
    <mergeCell ref="A2:H2"/>
    <mergeCell ref="A3:B3"/>
    <mergeCell ref="A4:B4"/>
    <mergeCell ref="C3:D3"/>
    <mergeCell ref="E3:F3"/>
    <mergeCell ref="G3:H3"/>
    <mergeCell ref="C4:D4"/>
    <mergeCell ref="E4:F4"/>
    <mergeCell ref="G4:H4"/>
    <mergeCell ref="I23:L23"/>
    <mergeCell ref="A24:F24"/>
    <mergeCell ref="A6:G6"/>
    <mergeCell ref="C27:H27"/>
    <mergeCell ref="B15:C15"/>
    <mergeCell ref="B16:C16"/>
    <mergeCell ref="B12:C12"/>
    <mergeCell ref="B17:C17"/>
    <mergeCell ref="B21:C21"/>
    <mergeCell ref="B22:C22"/>
    <mergeCell ref="B23:C23"/>
    <mergeCell ref="B19:C19"/>
    <mergeCell ref="B18:C18"/>
    <mergeCell ref="B20:C20"/>
    <mergeCell ref="B11:C11"/>
  </mergeCells>
  <printOptions horizontalCentered="1"/>
  <pageMargins left="0.59055118110236227" right="0.59055118110236227" top="1.1811023622047245" bottom="0.98425196850393704" header="0.51181102362204722" footer="0.51181102362204722"/>
  <pageSetup paperSize="9" scale="7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W121"/>
  <sheetViews>
    <sheetView workbookViewId="0">
      <selection sqref="A1:L1"/>
    </sheetView>
  </sheetViews>
  <sheetFormatPr defaultRowHeight="12.75" x14ac:dyDescent="0.2"/>
  <cols>
    <col min="1" max="1" width="6.7109375" style="212" customWidth="1"/>
    <col min="2" max="2" width="63.5703125" style="212" customWidth="1"/>
    <col min="3" max="3" width="6.7109375" style="235" customWidth="1"/>
    <col min="4" max="7" width="10.7109375" style="461" customWidth="1"/>
    <col min="8" max="9" width="10.7109375" style="212" customWidth="1"/>
    <col min="10" max="10" width="10.7109375" style="461" customWidth="1"/>
    <col min="11" max="11" width="6.7109375" style="212" customWidth="1"/>
    <col min="12" max="12" width="40.7109375" style="212" customWidth="1"/>
    <col min="13" max="13" width="9.140625" style="212"/>
    <col min="14" max="14" width="22.42578125" style="457" hidden="1" customWidth="1"/>
    <col min="15" max="16" width="0" style="212" hidden="1" customWidth="1"/>
    <col min="17" max="16384" width="9.140625" style="212"/>
  </cols>
  <sheetData>
    <row r="1" spans="1:17" customFormat="1" ht="24.95" customHeight="1" x14ac:dyDescent="0.2">
      <c r="A1" s="952" t="s">
        <v>608</v>
      </c>
      <c r="B1" s="952"/>
      <c r="C1" s="952"/>
      <c r="D1" s="952"/>
      <c r="E1" s="952"/>
      <c r="F1" s="952"/>
      <c r="G1" s="952"/>
      <c r="H1" s="952"/>
      <c r="I1" s="952"/>
      <c r="J1" s="952"/>
      <c r="K1" s="952"/>
      <c r="L1" s="952"/>
      <c r="N1" s="274"/>
    </row>
    <row r="2" spans="1:17" customFormat="1" ht="24.95" customHeight="1" x14ac:dyDescent="0.2">
      <c r="A2" s="686" t="s">
        <v>413</v>
      </c>
      <c r="B2" s="687" t="s">
        <v>414</v>
      </c>
      <c r="C2" s="686"/>
      <c r="D2" s="686"/>
      <c r="E2" s="686"/>
      <c r="F2" s="686"/>
      <c r="G2" s="686"/>
      <c r="H2" s="686"/>
      <c r="I2" s="686"/>
      <c r="J2" s="609"/>
      <c r="K2" s="957" t="s">
        <v>591</v>
      </c>
      <c r="L2" s="957"/>
      <c r="N2" s="274"/>
    </row>
    <row r="3" spans="1:17" customFormat="1" ht="20.100000000000001" customHeight="1" x14ac:dyDescent="0.2">
      <c r="A3" s="448" t="s">
        <v>315</v>
      </c>
      <c r="B3" s="448" t="s">
        <v>302</v>
      </c>
      <c r="C3" s="448" t="s">
        <v>301</v>
      </c>
      <c r="D3" s="448" t="s">
        <v>300</v>
      </c>
      <c r="E3" s="448" t="s">
        <v>298</v>
      </c>
      <c r="F3" s="448" t="s">
        <v>297</v>
      </c>
      <c r="G3" s="448" t="s">
        <v>415</v>
      </c>
      <c r="H3" s="448" t="s">
        <v>47</v>
      </c>
      <c r="I3" s="448" t="s">
        <v>296</v>
      </c>
      <c r="J3" s="448" t="s">
        <v>21</v>
      </c>
      <c r="K3" s="448" t="s">
        <v>22</v>
      </c>
      <c r="L3" s="448" t="s">
        <v>295</v>
      </c>
      <c r="N3" s="274"/>
    </row>
    <row r="4" spans="1:17" customFormat="1" ht="27.75" customHeight="1" x14ac:dyDescent="0.2">
      <c r="A4" s="443" t="s">
        <v>6</v>
      </c>
      <c r="B4" s="610" t="s">
        <v>405</v>
      </c>
      <c r="C4" s="443" t="s">
        <v>416</v>
      </c>
      <c r="D4" s="449">
        <f>J28</f>
        <v>3.7816727256</v>
      </c>
      <c r="E4" s="255"/>
      <c r="F4" s="255"/>
      <c r="G4" s="339"/>
      <c r="H4" s="258"/>
      <c r="I4" s="258"/>
      <c r="J4" s="222"/>
      <c r="K4" s="258"/>
      <c r="L4" s="258" t="s">
        <v>417</v>
      </c>
      <c r="N4" s="274"/>
    </row>
    <row r="5" spans="1:17" customFormat="1" ht="12.75" customHeight="1" x14ac:dyDescent="0.2">
      <c r="A5" s="443"/>
      <c r="B5" s="610"/>
      <c r="C5" s="443"/>
      <c r="D5" s="449"/>
      <c r="E5" s="255"/>
      <c r="F5" s="255"/>
      <c r="G5" s="339"/>
      <c r="H5" s="258"/>
      <c r="I5" s="258"/>
      <c r="J5" s="222"/>
      <c r="K5" s="258"/>
      <c r="L5" s="258"/>
      <c r="N5" s="274"/>
    </row>
    <row r="6" spans="1:17" customFormat="1" ht="12.75" customHeight="1" x14ac:dyDescent="0.2">
      <c r="A6" s="443"/>
      <c r="B6" s="394" t="s">
        <v>713</v>
      </c>
      <c r="C6" s="450" t="s">
        <v>418</v>
      </c>
      <c r="D6" s="449"/>
      <c r="E6" s="255"/>
      <c r="F6" s="255">
        <v>1.25</v>
      </c>
      <c r="G6" s="339"/>
      <c r="H6" s="258"/>
      <c r="I6" s="258"/>
      <c r="J6" s="222"/>
      <c r="K6" s="258"/>
      <c r="L6" s="613"/>
      <c r="N6" s="274"/>
    </row>
    <row r="7" spans="1:17" customFormat="1" ht="12.75" customHeight="1" x14ac:dyDescent="0.2">
      <c r="A7" s="443"/>
      <c r="B7" s="394" t="s">
        <v>714</v>
      </c>
      <c r="C7" s="443" t="s">
        <v>33</v>
      </c>
      <c r="D7" s="449"/>
      <c r="E7" s="255"/>
      <c r="F7" s="255"/>
      <c r="G7" s="339">
        <v>1.25</v>
      </c>
      <c r="H7" s="258"/>
      <c r="I7" s="258"/>
      <c r="J7" s="222"/>
      <c r="K7" s="258"/>
      <c r="L7" s="258"/>
      <c r="N7" s="274"/>
    </row>
    <row r="8" spans="1:17" customFormat="1" ht="12.75" hidden="1" customHeight="1" x14ac:dyDescent="0.2">
      <c r="A8" s="443"/>
      <c r="B8" s="394" t="s">
        <v>716</v>
      </c>
      <c r="C8" s="443" t="s">
        <v>33</v>
      </c>
      <c r="D8" s="454">
        <f>2*3.1416*F6/2</f>
        <v>3.927</v>
      </c>
      <c r="E8" s="255"/>
      <c r="F8" s="255"/>
      <c r="G8" s="684"/>
      <c r="H8" s="258"/>
      <c r="I8" s="258"/>
      <c r="J8" s="222"/>
      <c r="K8" s="258"/>
      <c r="L8" s="258"/>
      <c r="N8" s="274"/>
    </row>
    <row r="9" spans="1:17" customFormat="1" ht="12.75" hidden="1" customHeight="1" x14ac:dyDescent="0.2">
      <c r="A9" s="443"/>
      <c r="B9" s="394" t="s">
        <v>715</v>
      </c>
      <c r="C9" s="450" t="s">
        <v>35</v>
      </c>
      <c r="D9" s="587">
        <f>3.1416*F6*F6/4</f>
        <v>1.2271875000000001</v>
      </c>
      <c r="E9" s="255"/>
      <c r="F9" s="255"/>
      <c r="G9" s="684"/>
      <c r="H9" s="258"/>
      <c r="I9" s="258"/>
      <c r="J9" s="222"/>
      <c r="K9" s="258"/>
      <c r="L9" s="258"/>
      <c r="N9" s="274"/>
    </row>
    <row r="10" spans="1:17" customFormat="1" ht="12.75" hidden="1" customHeight="1" x14ac:dyDescent="0.2">
      <c r="A10" s="443"/>
      <c r="B10" s="394" t="s">
        <v>717</v>
      </c>
      <c r="C10" s="443" t="s">
        <v>416</v>
      </c>
      <c r="D10" s="478">
        <f>D9*G7</f>
        <v>1.5339843750000002</v>
      </c>
      <c r="E10" s="255"/>
      <c r="F10" s="255"/>
      <c r="G10" s="684"/>
      <c r="H10" s="258"/>
      <c r="I10" s="258"/>
      <c r="J10" s="222"/>
      <c r="K10" s="258"/>
      <c r="L10" s="258"/>
      <c r="N10" s="274"/>
    </row>
    <row r="11" spans="1:17" customFormat="1" ht="12.75" customHeight="1" x14ac:dyDescent="0.2">
      <c r="A11" s="443"/>
      <c r="B11" s="394"/>
      <c r="C11" s="443"/>
      <c r="D11" s="449"/>
      <c r="E11" s="255"/>
      <c r="F11" s="684"/>
      <c r="G11" s="478"/>
      <c r="H11" s="258"/>
      <c r="I11" s="258"/>
      <c r="J11" s="222"/>
      <c r="K11" s="258"/>
      <c r="L11" s="258"/>
      <c r="N11" s="274"/>
      <c r="Q11" s="212"/>
    </row>
    <row r="12" spans="1:17" customFormat="1" ht="12.75" customHeight="1" x14ac:dyDescent="0.2">
      <c r="A12" s="443"/>
      <c r="B12" s="261" t="s">
        <v>578</v>
      </c>
      <c r="C12" s="443"/>
      <c r="D12" s="222"/>
      <c r="E12" s="255"/>
      <c r="F12" s="454">
        <v>0.09</v>
      </c>
      <c r="G12" s="684"/>
      <c r="H12" s="222"/>
      <c r="I12" s="258"/>
      <c r="J12" s="222"/>
      <c r="K12" s="258"/>
      <c r="L12" s="613" t="s">
        <v>576</v>
      </c>
      <c r="N12" s="274"/>
      <c r="Q12" s="212"/>
    </row>
    <row r="13" spans="1:17" customFormat="1" ht="12.75" customHeight="1" x14ac:dyDescent="0.2">
      <c r="A13" s="443"/>
      <c r="B13" s="261"/>
      <c r="C13" s="443"/>
      <c r="D13" s="222"/>
      <c r="E13" s="255"/>
      <c r="F13" s="454"/>
      <c r="G13" s="684"/>
      <c r="H13" s="222"/>
      <c r="I13" s="258"/>
      <c r="J13" s="222"/>
      <c r="K13" s="258"/>
      <c r="L13" s="258"/>
      <c r="N13" s="274"/>
    </row>
    <row r="14" spans="1:17" customFormat="1" ht="12.75" customHeight="1" x14ac:dyDescent="0.2">
      <c r="A14" s="222" t="s">
        <v>420</v>
      </c>
      <c r="B14" s="610" t="s">
        <v>737</v>
      </c>
      <c r="C14" s="443"/>
      <c r="D14" s="449"/>
      <c r="E14" s="255"/>
      <c r="F14" s="255"/>
      <c r="G14" s="339"/>
      <c r="H14" s="258"/>
      <c r="I14" s="258"/>
      <c r="J14" s="222"/>
      <c r="K14" s="258"/>
      <c r="L14" s="258"/>
      <c r="N14" s="274"/>
      <c r="Q14" s="212"/>
    </row>
    <row r="15" spans="1:17" customFormat="1" ht="12.75" customHeight="1" x14ac:dyDescent="0.2">
      <c r="A15" s="222"/>
      <c r="B15" s="610"/>
      <c r="C15" s="443"/>
      <c r="D15" s="449"/>
      <c r="E15" s="255"/>
      <c r="F15" s="255"/>
      <c r="G15" s="339"/>
      <c r="H15" s="258"/>
      <c r="I15" s="258"/>
      <c r="J15" s="222"/>
      <c r="K15" s="258"/>
      <c r="L15" s="258"/>
      <c r="N15" s="274"/>
      <c r="Q15" s="212"/>
    </row>
    <row r="16" spans="1:17" customFormat="1" ht="12.75" customHeight="1" x14ac:dyDescent="0.2">
      <c r="A16" s="222"/>
      <c r="B16" s="261" t="s">
        <v>557</v>
      </c>
      <c r="C16" s="450" t="s">
        <v>418</v>
      </c>
      <c r="D16" s="254"/>
      <c r="E16" s="255"/>
      <c r="F16" s="255">
        <f>((0.03+F12+0.02)*2)+F6</f>
        <v>1.53</v>
      </c>
      <c r="G16" s="478"/>
      <c r="H16" s="258"/>
      <c r="I16" s="258"/>
      <c r="J16" s="222"/>
      <c r="K16" s="258"/>
      <c r="L16" s="453"/>
      <c r="N16" s="274"/>
    </row>
    <row r="17" spans="1:19" customFormat="1" ht="12.75" customHeight="1" x14ac:dyDescent="0.2">
      <c r="A17" s="222"/>
      <c r="B17" s="261" t="s">
        <v>560</v>
      </c>
      <c r="C17" s="450" t="s">
        <v>35</v>
      </c>
      <c r="D17" s="454">
        <f>3.1416*F16*F16/4</f>
        <v>1.83854286</v>
      </c>
      <c r="E17" s="255"/>
      <c r="F17" s="585"/>
      <c r="G17" s="478"/>
      <c r="H17" s="258"/>
      <c r="I17" s="258"/>
      <c r="J17" s="222"/>
      <c r="K17" s="258"/>
      <c r="L17" s="453" t="s">
        <v>719</v>
      </c>
      <c r="N17" s="455"/>
      <c r="O17" s="212"/>
    </row>
    <row r="18" spans="1:19" customFormat="1" ht="12.75" customHeight="1" x14ac:dyDescent="0.2">
      <c r="A18" s="222"/>
      <c r="B18" s="261" t="s">
        <v>558</v>
      </c>
      <c r="C18" s="443" t="s">
        <v>33</v>
      </c>
      <c r="D18" s="456"/>
      <c r="E18" s="255"/>
      <c r="F18" s="255"/>
      <c r="G18" s="478">
        <v>1.32</v>
      </c>
      <c r="H18" s="258"/>
      <c r="I18" s="258"/>
      <c r="J18" s="222"/>
      <c r="K18" s="258"/>
      <c r="L18" s="453"/>
      <c r="N18" s="274"/>
    </row>
    <row r="19" spans="1:19" customFormat="1" ht="12.75" customHeight="1" x14ac:dyDescent="0.2">
      <c r="A19" s="222"/>
      <c r="B19" s="261" t="s">
        <v>559</v>
      </c>
      <c r="C19" s="443" t="s">
        <v>416</v>
      </c>
      <c r="D19" s="456"/>
      <c r="E19" s="255"/>
      <c r="F19" s="255"/>
      <c r="G19" s="464"/>
      <c r="H19" s="258"/>
      <c r="I19" s="258"/>
      <c r="J19" s="458">
        <f>D17*G18</f>
        <v>2.4268765752000001</v>
      </c>
      <c r="K19" s="443" t="s">
        <v>416</v>
      </c>
      <c r="L19" s="453"/>
      <c r="N19" s="274"/>
    </row>
    <row r="20" spans="1:19" customFormat="1" ht="12.75" customHeight="1" x14ac:dyDescent="0.2">
      <c r="A20" s="453"/>
      <c r="B20" s="453"/>
      <c r="C20" s="443"/>
      <c r="D20" s="456"/>
      <c r="E20" s="255"/>
      <c r="F20" s="255"/>
      <c r="G20" s="464"/>
      <c r="H20" s="258"/>
      <c r="I20" s="258"/>
      <c r="J20" s="454"/>
      <c r="K20" s="443"/>
      <c r="L20" s="453"/>
      <c r="N20" s="274"/>
    </row>
    <row r="21" spans="1:19" customFormat="1" ht="12.75" customHeight="1" x14ac:dyDescent="0.2">
      <c r="A21" s="222" t="s">
        <v>612</v>
      </c>
      <c r="B21" s="610" t="s">
        <v>681</v>
      </c>
      <c r="C21" s="443"/>
      <c r="D21" s="456"/>
      <c r="E21" s="255"/>
      <c r="F21" s="255"/>
      <c r="G21" s="464"/>
      <c r="H21" s="258"/>
      <c r="I21" s="258"/>
      <c r="J21" s="454"/>
      <c r="K21" s="443"/>
      <c r="L21" s="453"/>
      <c r="N21" s="274"/>
    </row>
    <row r="22" spans="1:19" customFormat="1" ht="12.75" customHeight="1" x14ac:dyDescent="0.2">
      <c r="A22" s="222"/>
      <c r="B22" s="610"/>
      <c r="C22" s="443"/>
      <c r="D22" s="456"/>
      <c r="E22" s="255"/>
      <c r="F22" s="255"/>
      <c r="G22" s="464"/>
      <c r="H22" s="258"/>
      <c r="I22" s="258"/>
      <c r="J22" s="454"/>
      <c r="K22" s="443"/>
      <c r="L22" s="453"/>
      <c r="N22" s="274"/>
      <c r="S22" s="212"/>
    </row>
    <row r="23" spans="1:19" customFormat="1" ht="12.75" customHeight="1" x14ac:dyDescent="0.2">
      <c r="A23" s="222"/>
      <c r="B23" s="261" t="s">
        <v>718</v>
      </c>
      <c r="C23" s="450" t="s">
        <v>418</v>
      </c>
      <c r="D23" s="456"/>
      <c r="E23" s="255"/>
      <c r="F23" s="255">
        <v>1.98</v>
      </c>
      <c r="G23" s="464"/>
      <c r="H23" s="258"/>
      <c r="I23" s="258"/>
      <c r="J23" s="454"/>
      <c r="K23" s="443"/>
      <c r="L23" s="453"/>
      <c r="N23" s="274"/>
    </row>
    <row r="24" spans="1:19" customFormat="1" ht="12.75" customHeight="1" x14ac:dyDescent="0.2">
      <c r="A24" s="222"/>
      <c r="B24" s="261" t="s">
        <v>561</v>
      </c>
      <c r="C24" s="450" t="s">
        <v>35</v>
      </c>
      <c r="D24" s="587">
        <f>3.1416*F23*F23/4</f>
        <v>3.07908216</v>
      </c>
      <c r="E24" s="255"/>
      <c r="F24" s="255"/>
      <c r="G24" s="464"/>
      <c r="H24" s="258"/>
      <c r="I24" s="258"/>
      <c r="J24" s="454"/>
      <c r="K24" s="443"/>
      <c r="L24" s="453" t="s">
        <v>720</v>
      </c>
      <c r="N24" s="274"/>
    </row>
    <row r="25" spans="1:19" customFormat="1" ht="12.75" customHeight="1" x14ac:dyDescent="0.2">
      <c r="A25" s="222"/>
      <c r="B25" s="261" t="s">
        <v>562</v>
      </c>
      <c r="C25" s="443" t="s">
        <v>33</v>
      </c>
      <c r="D25" s="684"/>
      <c r="E25" s="255"/>
      <c r="F25" s="255"/>
      <c r="G25" s="454">
        <v>0.44</v>
      </c>
      <c r="H25" s="258"/>
      <c r="I25" s="258"/>
      <c r="J25" s="454"/>
      <c r="K25" s="443"/>
      <c r="L25" s="453"/>
      <c r="N25" s="274"/>
    </row>
    <row r="26" spans="1:19" customFormat="1" ht="12.75" customHeight="1" x14ac:dyDescent="0.2">
      <c r="A26" s="222"/>
      <c r="B26" s="261" t="s">
        <v>559</v>
      </c>
      <c r="C26" s="443" t="s">
        <v>416</v>
      </c>
      <c r="D26" s="456"/>
      <c r="E26" s="255"/>
      <c r="F26" s="255"/>
      <c r="G26" s="464"/>
      <c r="H26" s="258"/>
      <c r="I26" s="258"/>
      <c r="J26" s="458">
        <f>D24*G25</f>
        <v>1.3547961504000001</v>
      </c>
      <c r="K26" s="443" t="s">
        <v>416</v>
      </c>
      <c r="L26" s="453"/>
      <c r="N26" s="274"/>
    </row>
    <row r="27" spans="1:19" customFormat="1" ht="12.75" customHeight="1" x14ac:dyDescent="0.2">
      <c r="A27" s="222"/>
      <c r="B27" s="261"/>
      <c r="C27" s="443"/>
      <c r="D27" s="456"/>
      <c r="E27" s="255"/>
      <c r="F27" s="255"/>
      <c r="G27" s="464"/>
      <c r="H27" s="258"/>
      <c r="I27" s="258"/>
      <c r="J27" s="458"/>
      <c r="K27" s="443"/>
      <c r="L27" s="453"/>
      <c r="N27" s="274"/>
    </row>
    <row r="28" spans="1:19" customFormat="1" ht="12.75" customHeight="1" x14ac:dyDescent="0.2">
      <c r="A28" s="222"/>
      <c r="B28" s="612" t="s">
        <v>727</v>
      </c>
      <c r="C28" s="443" t="s">
        <v>416</v>
      </c>
      <c r="D28" s="454"/>
      <c r="E28" s="255"/>
      <c r="F28" s="255"/>
      <c r="G28" s="478"/>
      <c r="H28" s="258"/>
      <c r="I28" s="258"/>
      <c r="J28" s="458">
        <f>J19+J26</f>
        <v>3.7816727256</v>
      </c>
      <c r="K28" s="443" t="s">
        <v>416</v>
      </c>
      <c r="L28" s="453"/>
      <c r="N28" s="274"/>
    </row>
    <row r="29" spans="1:19" customFormat="1" ht="12.75" customHeight="1" x14ac:dyDescent="0.2">
      <c r="A29" s="222"/>
      <c r="B29" s="261"/>
      <c r="C29" s="443"/>
      <c r="D29" s="456"/>
      <c r="E29" s="255"/>
      <c r="F29" s="255"/>
      <c r="G29" s="464"/>
      <c r="H29" s="258"/>
      <c r="I29" s="258"/>
      <c r="J29" s="458"/>
      <c r="K29" s="443"/>
      <c r="L29" s="453"/>
      <c r="N29" s="274"/>
    </row>
    <row r="30" spans="1:19" customFormat="1" ht="26.25" customHeight="1" x14ac:dyDescent="0.2">
      <c r="A30" s="222" t="s">
        <v>8</v>
      </c>
      <c r="B30" s="610" t="s">
        <v>610</v>
      </c>
      <c r="C30" s="450" t="s">
        <v>35</v>
      </c>
      <c r="D30" s="456"/>
      <c r="E30" s="255"/>
      <c r="F30" s="255"/>
      <c r="G30" s="464"/>
      <c r="H30" s="258"/>
      <c r="I30" s="258"/>
      <c r="J30" s="458"/>
      <c r="K30" s="443"/>
      <c r="L30" s="453"/>
      <c r="N30" s="274"/>
    </row>
    <row r="31" spans="1:19" customFormat="1" ht="12.75" customHeight="1" x14ac:dyDescent="0.2">
      <c r="A31" s="222"/>
      <c r="B31" s="610"/>
      <c r="C31" s="450"/>
      <c r="D31" s="456"/>
      <c r="E31" s="255"/>
      <c r="F31" s="255"/>
      <c r="G31" s="464"/>
      <c r="H31" s="258"/>
      <c r="I31" s="258"/>
      <c r="J31" s="458"/>
      <c r="K31" s="443"/>
      <c r="L31" s="453"/>
      <c r="N31" s="274"/>
    </row>
    <row r="32" spans="1:19" customFormat="1" ht="12.75" customHeight="1" x14ac:dyDescent="0.2">
      <c r="A32" s="222"/>
      <c r="B32" s="261" t="s">
        <v>721</v>
      </c>
      <c r="C32" s="450" t="s">
        <v>418</v>
      </c>
      <c r="D32" s="456"/>
      <c r="E32" s="255"/>
      <c r="F32" s="255">
        <f>F16</f>
        <v>1.53</v>
      </c>
      <c r="G32" s="464"/>
      <c r="H32" s="258"/>
      <c r="I32" s="258"/>
      <c r="J32" s="458"/>
      <c r="K32" s="222"/>
      <c r="L32" s="453"/>
      <c r="N32" s="274"/>
    </row>
    <row r="33" spans="1:18" customFormat="1" ht="12.75" customHeight="1" x14ac:dyDescent="0.2">
      <c r="A33" s="222"/>
      <c r="B33" s="261" t="s">
        <v>563</v>
      </c>
      <c r="C33" s="443" t="s">
        <v>33</v>
      </c>
      <c r="D33" s="456"/>
      <c r="E33" s="255"/>
      <c r="F33" s="255"/>
      <c r="G33" s="682">
        <f>G18+G25</f>
        <v>1.76</v>
      </c>
      <c r="H33" s="258"/>
      <c r="I33" s="258"/>
      <c r="J33" s="458"/>
      <c r="K33" s="443"/>
      <c r="L33" s="453" t="s">
        <v>723</v>
      </c>
      <c r="N33" s="274"/>
    </row>
    <row r="34" spans="1:18" customFormat="1" ht="12.75" customHeight="1" x14ac:dyDescent="0.2">
      <c r="A34" s="222"/>
      <c r="B34" s="261" t="s">
        <v>722</v>
      </c>
      <c r="C34" s="443" t="s">
        <v>33</v>
      </c>
      <c r="D34" s="454">
        <f>2*3.1416*F32/2</f>
        <v>4.806648</v>
      </c>
      <c r="E34" s="255"/>
      <c r="F34" s="255"/>
      <c r="G34" s="464"/>
      <c r="H34" s="258"/>
      <c r="I34" s="258"/>
      <c r="J34" s="458"/>
      <c r="K34" s="222"/>
      <c r="L34" s="453" t="s">
        <v>725</v>
      </c>
      <c r="N34" s="274"/>
    </row>
    <row r="35" spans="1:18" customFormat="1" ht="12.75" customHeight="1" x14ac:dyDescent="0.2">
      <c r="A35" s="222"/>
      <c r="B35" s="261"/>
      <c r="C35" s="443"/>
      <c r="D35" s="684"/>
      <c r="E35" s="684"/>
      <c r="F35" s="684"/>
      <c r="G35" s="684"/>
      <c r="H35" s="453"/>
      <c r="I35" s="258"/>
      <c r="J35" s="458"/>
      <c r="K35" s="222"/>
      <c r="L35" s="613"/>
      <c r="N35" s="274"/>
    </row>
    <row r="36" spans="1:18" customFormat="1" ht="12.75" customHeight="1" x14ac:dyDescent="0.2">
      <c r="A36" s="222"/>
      <c r="B36" s="612" t="s">
        <v>724</v>
      </c>
      <c r="C36" s="450" t="s">
        <v>35</v>
      </c>
      <c r="D36" s="456"/>
      <c r="E36" s="255"/>
      <c r="F36" s="255"/>
      <c r="G36" s="684"/>
      <c r="H36" s="258"/>
      <c r="I36" s="258"/>
      <c r="J36" s="458">
        <f>D34*G33</f>
        <v>8.4597004800000004</v>
      </c>
      <c r="K36" s="450" t="s">
        <v>35</v>
      </c>
      <c r="L36" s="453"/>
      <c r="N36" s="274"/>
    </row>
    <row r="37" spans="1:18" customFormat="1" ht="12.75" customHeight="1" x14ac:dyDescent="0.2">
      <c r="A37" s="222"/>
      <c r="B37" s="612"/>
      <c r="C37" s="450"/>
      <c r="D37" s="456"/>
      <c r="E37" s="255"/>
      <c r="F37" s="255"/>
      <c r="G37" s="684"/>
      <c r="H37" s="258"/>
      <c r="I37" s="258"/>
      <c r="J37" s="458"/>
      <c r="K37" s="450"/>
      <c r="L37" s="453"/>
      <c r="N37" s="274"/>
    </row>
    <row r="38" spans="1:18" customFormat="1" ht="12.75" customHeight="1" x14ac:dyDescent="0.2">
      <c r="A38" s="222"/>
      <c r="B38" s="612"/>
      <c r="C38" s="450"/>
      <c r="D38" s="456"/>
      <c r="E38" s="255"/>
      <c r="F38" s="255"/>
      <c r="G38" s="684"/>
      <c r="H38" s="258"/>
      <c r="I38" s="258"/>
      <c r="J38" s="458"/>
      <c r="K38" s="450"/>
      <c r="L38" s="453"/>
      <c r="N38" s="274"/>
    </row>
    <row r="39" spans="1:18" customFormat="1" ht="25.5" customHeight="1" x14ac:dyDescent="0.2">
      <c r="A39" s="443" t="s">
        <v>23</v>
      </c>
      <c r="B39" s="610" t="s">
        <v>320</v>
      </c>
      <c r="C39" s="443" t="s">
        <v>35</v>
      </c>
      <c r="D39" s="449">
        <f>J43</f>
        <v>1.83854286</v>
      </c>
      <c r="E39" s="255"/>
      <c r="F39" s="255"/>
      <c r="G39" s="222"/>
      <c r="H39" s="258"/>
      <c r="I39" s="258"/>
      <c r="J39" s="222"/>
      <c r="K39" s="222"/>
      <c r="L39" s="473" t="s">
        <v>446</v>
      </c>
      <c r="N39" s="274"/>
    </row>
    <row r="40" spans="1:18" customFormat="1" ht="12.75" customHeight="1" x14ac:dyDescent="0.2">
      <c r="A40" s="222"/>
      <c r="B40" s="394" t="s">
        <v>589</v>
      </c>
      <c r="C40" s="450" t="s">
        <v>418</v>
      </c>
      <c r="D40" s="254">
        <f>F16</f>
        <v>1.53</v>
      </c>
      <c r="E40" s="255"/>
      <c r="F40" s="255"/>
      <c r="G40" s="474"/>
      <c r="H40" s="258"/>
      <c r="I40" s="258"/>
      <c r="J40" s="222"/>
      <c r="K40" s="222"/>
      <c r="L40" s="453"/>
      <c r="N40" s="274"/>
    </row>
    <row r="41" spans="1:18" customFormat="1" ht="12.75" customHeight="1" x14ac:dyDescent="0.2">
      <c r="A41" s="222"/>
      <c r="B41" s="394" t="s">
        <v>445</v>
      </c>
      <c r="C41" s="443" t="s">
        <v>35</v>
      </c>
      <c r="D41" s="587">
        <f>3.1416*D40*D40/4</f>
        <v>1.83854286</v>
      </c>
      <c r="E41" s="255"/>
      <c r="F41" s="255"/>
      <c r="G41" s="474"/>
      <c r="H41" s="258"/>
      <c r="I41" s="258"/>
      <c r="J41" s="222"/>
      <c r="K41" s="222"/>
      <c r="L41" s="258" t="s">
        <v>447</v>
      </c>
      <c r="N41" s="274"/>
    </row>
    <row r="42" spans="1:18" customFormat="1" ht="12.75" customHeight="1" x14ac:dyDescent="0.2">
      <c r="A42" s="222"/>
      <c r="B42" s="394"/>
      <c r="C42" s="443"/>
      <c r="D42" s="587"/>
      <c r="E42" s="255"/>
      <c r="F42" s="255"/>
      <c r="G42" s="474"/>
      <c r="H42" s="258"/>
      <c r="I42" s="258"/>
      <c r="J42" s="222"/>
      <c r="K42" s="222"/>
      <c r="L42" s="453"/>
      <c r="N42" s="274"/>
    </row>
    <row r="43" spans="1:18" customFormat="1" ht="12.75" customHeight="1" x14ac:dyDescent="0.2">
      <c r="A43" s="222"/>
      <c r="B43" s="219" t="s">
        <v>51</v>
      </c>
      <c r="C43" s="443"/>
      <c r="D43" s="254"/>
      <c r="E43" s="255"/>
      <c r="F43" s="255"/>
      <c r="G43" s="474"/>
      <c r="H43" s="258"/>
      <c r="I43" s="258"/>
      <c r="J43" s="458">
        <f>D41</f>
        <v>1.83854286</v>
      </c>
      <c r="K43" s="443" t="s">
        <v>35</v>
      </c>
      <c r="L43" s="453"/>
      <c r="N43" s="274"/>
    </row>
    <row r="44" spans="1:18" ht="12.75" customHeight="1" x14ac:dyDescent="0.2">
      <c r="A44" s="222"/>
      <c r="B44" s="219"/>
      <c r="C44" s="443"/>
      <c r="D44" s="454"/>
      <c r="E44" s="255"/>
      <c r="F44" s="255"/>
      <c r="G44" s="452"/>
      <c r="H44" s="258"/>
      <c r="I44" s="258"/>
      <c r="J44" s="458"/>
      <c r="K44" s="443"/>
      <c r="L44" s="453"/>
      <c r="R44" s="573"/>
    </row>
    <row r="45" spans="1:18" ht="41.25" customHeight="1" x14ac:dyDescent="0.2">
      <c r="A45" s="443">
        <v>1.4</v>
      </c>
      <c r="B45" s="610" t="s">
        <v>422</v>
      </c>
      <c r="C45" s="443" t="s">
        <v>35</v>
      </c>
      <c r="D45" s="449">
        <f>J51</f>
        <v>5.8528008000000007</v>
      </c>
      <c r="E45" s="255"/>
      <c r="F45" s="255"/>
      <c r="G45" s="339"/>
      <c r="H45" s="258"/>
      <c r="I45" s="258"/>
      <c r="J45" s="222"/>
      <c r="K45" s="258"/>
      <c r="L45" s="453"/>
    </row>
    <row r="46" spans="1:18" ht="12.75" customHeight="1" x14ac:dyDescent="0.2">
      <c r="A46" s="222"/>
      <c r="B46" s="261" t="s">
        <v>423</v>
      </c>
      <c r="C46" s="450" t="s">
        <v>418</v>
      </c>
      <c r="D46" s="684"/>
      <c r="E46" s="255"/>
      <c r="F46" s="462">
        <f>F6+F12+(0.02*2)</f>
        <v>1.3800000000000001</v>
      </c>
      <c r="G46" s="463"/>
      <c r="H46" s="222"/>
      <c r="I46" s="222"/>
      <c r="J46" s="222"/>
      <c r="K46" s="222"/>
      <c r="L46" s="613" t="s">
        <v>729</v>
      </c>
    </row>
    <row r="47" spans="1:18" ht="12.75" customHeight="1" x14ac:dyDescent="0.2">
      <c r="A47" s="222"/>
      <c r="B47" s="261" t="s">
        <v>730</v>
      </c>
      <c r="C47" s="443"/>
      <c r="D47" s="222"/>
      <c r="E47" s="255"/>
      <c r="F47" s="255"/>
      <c r="G47" s="462">
        <v>0.02</v>
      </c>
      <c r="H47" s="258"/>
      <c r="I47" s="258"/>
      <c r="J47" s="222"/>
      <c r="K47" s="258"/>
      <c r="L47" s="613" t="s">
        <v>576</v>
      </c>
    </row>
    <row r="48" spans="1:18" ht="12.75" customHeight="1" x14ac:dyDescent="0.2">
      <c r="A48" s="222"/>
      <c r="B48" s="261" t="s">
        <v>424</v>
      </c>
      <c r="C48" s="443" t="s">
        <v>33</v>
      </c>
      <c r="D48" s="254">
        <f>2*3.1416*F46/2</f>
        <v>4.3354080000000002</v>
      </c>
      <c r="E48" s="222"/>
      <c r="F48" s="464"/>
      <c r="G48" s="463"/>
      <c r="H48" s="222"/>
      <c r="I48" s="222"/>
      <c r="J48" s="222"/>
      <c r="K48" s="222"/>
      <c r="L48" s="613" t="s">
        <v>566</v>
      </c>
      <c r="N48" s="465"/>
      <c r="R48" s="477"/>
    </row>
    <row r="49" spans="1:20" ht="12.75" customHeight="1" x14ac:dyDescent="0.2">
      <c r="A49" s="222"/>
      <c r="B49" s="261" t="s">
        <v>569</v>
      </c>
      <c r="C49" s="443" t="s">
        <v>33</v>
      </c>
      <c r="D49" s="222"/>
      <c r="E49" s="255"/>
      <c r="F49" s="255"/>
      <c r="G49" s="466">
        <v>1.35</v>
      </c>
      <c r="H49" s="222"/>
      <c r="I49" s="222"/>
      <c r="J49" s="222"/>
      <c r="K49" s="222"/>
      <c r="L49" s="467" t="s">
        <v>728</v>
      </c>
    </row>
    <row r="50" spans="1:20" ht="12.75" customHeight="1" x14ac:dyDescent="0.2">
      <c r="A50" s="222"/>
      <c r="B50" s="261"/>
      <c r="C50" s="443"/>
      <c r="D50" s="222"/>
      <c r="E50" s="255"/>
      <c r="F50" s="255"/>
      <c r="G50" s="454"/>
      <c r="H50" s="222"/>
      <c r="I50" s="222"/>
      <c r="J50" s="222"/>
      <c r="K50" s="222"/>
      <c r="L50" s="467"/>
    </row>
    <row r="51" spans="1:20" ht="12.75" customHeight="1" x14ac:dyDescent="0.2">
      <c r="A51" s="222"/>
      <c r="B51" s="612" t="s">
        <v>425</v>
      </c>
      <c r="C51" s="443" t="s">
        <v>35</v>
      </c>
      <c r="D51" s="458"/>
      <c r="E51" s="255"/>
      <c r="F51" s="255"/>
      <c r="G51" s="463"/>
      <c r="H51" s="222"/>
      <c r="I51" s="222"/>
      <c r="J51" s="458">
        <f>D48*G49</f>
        <v>5.8528008000000007</v>
      </c>
      <c r="K51" s="443" t="s">
        <v>35</v>
      </c>
      <c r="L51" s="613"/>
      <c r="T51" s="685"/>
    </row>
    <row r="52" spans="1:20" ht="12.75" customHeight="1" x14ac:dyDescent="0.2">
      <c r="A52" s="222"/>
      <c r="B52" s="807"/>
      <c r="C52" s="807"/>
      <c r="D52" s="807"/>
      <c r="E52" s="807"/>
      <c r="F52" s="255"/>
      <c r="G52" s="266"/>
      <c r="H52" s="222"/>
      <c r="I52" s="222"/>
      <c r="J52" s="222"/>
      <c r="K52" s="222"/>
      <c r="L52" s="613"/>
    </row>
    <row r="53" spans="1:20" ht="54.75" customHeight="1" x14ac:dyDescent="0.2">
      <c r="A53" s="443" t="s">
        <v>25</v>
      </c>
      <c r="B53" s="610" t="s">
        <v>426</v>
      </c>
      <c r="C53" s="443" t="s">
        <v>35</v>
      </c>
      <c r="D53" s="449">
        <f>J59</f>
        <v>2.2013191200000004</v>
      </c>
      <c r="E53" s="255"/>
      <c r="F53" s="255"/>
      <c r="G53" s="339"/>
      <c r="H53" s="258"/>
      <c r="I53" s="468"/>
      <c r="J53" s="222"/>
      <c r="K53" s="258"/>
      <c r="L53" s="252" t="s">
        <v>565</v>
      </c>
      <c r="O53" s="262"/>
      <c r="S53" s="608"/>
      <c r="T53" s="262"/>
    </row>
    <row r="54" spans="1:20" ht="12.75" customHeight="1" x14ac:dyDescent="0.2">
      <c r="A54" s="443"/>
      <c r="B54" s="261" t="s">
        <v>577</v>
      </c>
      <c r="C54" s="443"/>
      <c r="D54" s="222"/>
      <c r="E54" s="255"/>
      <c r="F54" s="255"/>
      <c r="G54" s="462">
        <v>0.14000000000000001</v>
      </c>
      <c r="H54" s="258"/>
      <c r="I54" s="258"/>
      <c r="J54" s="222"/>
      <c r="K54" s="258"/>
      <c r="L54" s="613" t="s">
        <v>576</v>
      </c>
      <c r="O54" s="262"/>
      <c r="T54" s="262"/>
    </row>
    <row r="55" spans="1:20" ht="12.75" customHeight="1" x14ac:dyDescent="0.2">
      <c r="A55" s="222"/>
      <c r="B55" s="261" t="s">
        <v>568</v>
      </c>
      <c r="C55" s="450" t="s">
        <v>418</v>
      </c>
      <c r="D55" s="684"/>
      <c r="E55" s="255"/>
      <c r="F55" s="254">
        <f>F6+(2*G47)+G54</f>
        <v>1.4300000000000002</v>
      </c>
      <c r="G55" s="255"/>
      <c r="H55" s="258"/>
      <c r="I55" s="258"/>
      <c r="J55" s="222"/>
      <c r="K55" s="258"/>
      <c r="L55" s="453" t="s">
        <v>567</v>
      </c>
    </row>
    <row r="56" spans="1:20" ht="12.75" customHeight="1" x14ac:dyDescent="0.2">
      <c r="A56" s="222"/>
      <c r="B56" s="261" t="s">
        <v>424</v>
      </c>
      <c r="C56" s="443" t="s">
        <v>33</v>
      </c>
      <c r="D56" s="254">
        <f>2*3.1416*F55/2</f>
        <v>4.4924880000000007</v>
      </c>
      <c r="E56" s="255"/>
      <c r="F56" s="684"/>
      <c r="G56" s="266"/>
      <c r="H56" s="258"/>
      <c r="I56" s="258"/>
      <c r="J56" s="222"/>
      <c r="K56" s="258"/>
      <c r="L56" s="453" t="s">
        <v>469</v>
      </c>
    </row>
    <row r="57" spans="1:20" ht="12.75" customHeight="1" x14ac:dyDescent="0.2">
      <c r="A57" s="222"/>
      <c r="B57" s="261" t="s">
        <v>570</v>
      </c>
      <c r="C57" s="443" t="s">
        <v>33</v>
      </c>
      <c r="D57" s="222"/>
      <c r="E57" s="255"/>
      <c r="F57" s="255"/>
      <c r="G57" s="462">
        <v>0.49</v>
      </c>
      <c r="H57" s="258"/>
      <c r="I57" s="258"/>
      <c r="J57" s="222"/>
      <c r="K57" s="258"/>
      <c r="L57" s="453"/>
    </row>
    <row r="58" spans="1:20" ht="12.75" customHeight="1" x14ac:dyDescent="0.2">
      <c r="A58" s="222"/>
      <c r="B58" s="261"/>
      <c r="C58" s="443"/>
      <c r="D58" s="222"/>
      <c r="E58" s="255"/>
      <c r="F58" s="255"/>
      <c r="G58" s="254"/>
      <c r="H58" s="258"/>
      <c r="I58" s="258"/>
      <c r="J58" s="222"/>
      <c r="K58" s="258"/>
      <c r="L58" s="453"/>
    </row>
    <row r="59" spans="1:20" ht="12.75" customHeight="1" x14ac:dyDescent="0.2">
      <c r="A59" s="222"/>
      <c r="B59" s="219" t="s">
        <v>427</v>
      </c>
      <c r="C59" s="443" t="s">
        <v>35</v>
      </c>
      <c r="D59" s="222"/>
      <c r="E59" s="255"/>
      <c r="F59" s="255"/>
      <c r="G59" s="266"/>
      <c r="H59" s="258"/>
      <c r="I59" s="258"/>
      <c r="J59" s="449">
        <f>D56*G57</f>
        <v>2.2013191200000004</v>
      </c>
      <c r="K59" s="443" t="s">
        <v>35</v>
      </c>
      <c r="L59" s="453" t="s">
        <v>428</v>
      </c>
    </row>
    <row r="60" spans="1:20" ht="19.5" customHeight="1" x14ac:dyDescent="0.2">
      <c r="A60" s="222"/>
      <c r="B60" s="219"/>
      <c r="C60" s="460"/>
      <c r="D60" s="254"/>
      <c r="E60" s="255"/>
      <c r="F60" s="255"/>
      <c r="G60" s="266"/>
      <c r="H60" s="258"/>
      <c r="I60" s="258"/>
      <c r="J60" s="222"/>
      <c r="K60" s="258"/>
      <c r="L60" s="453"/>
    </row>
    <row r="61" spans="1:20" ht="35.25" customHeight="1" x14ac:dyDescent="0.2">
      <c r="A61" s="443">
        <v>1.6</v>
      </c>
      <c r="B61" s="469" t="s">
        <v>429</v>
      </c>
      <c r="C61" s="470"/>
      <c r="D61" s="449">
        <f>J77</f>
        <v>10.502682960000001</v>
      </c>
      <c r="E61" s="255"/>
      <c r="F61" s="255"/>
      <c r="G61" s="339"/>
      <c r="H61" s="258"/>
      <c r="I61" s="258"/>
      <c r="J61" s="222"/>
      <c r="K61" s="258"/>
      <c r="L61" s="453"/>
      <c r="N61" s="471"/>
    </row>
    <row r="62" spans="1:20" ht="18" customHeight="1" x14ac:dyDescent="0.2">
      <c r="A62" s="222"/>
      <c r="B62" s="261" t="s">
        <v>430</v>
      </c>
      <c r="C62" s="450" t="s">
        <v>418</v>
      </c>
      <c r="D62" s="684"/>
      <c r="E62" s="255"/>
      <c r="F62" s="254">
        <f>F6+(2*G47)</f>
        <v>1.29</v>
      </c>
      <c r="G62" s="339"/>
      <c r="H62" s="258"/>
      <c r="I62" s="258"/>
      <c r="J62" s="222"/>
      <c r="K62" s="258"/>
      <c r="L62" s="258" t="s">
        <v>573</v>
      </c>
    </row>
    <row r="63" spans="1:20" ht="17.25" customHeight="1" x14ac:dyDescent="0.2">
      <c r="A63" s="222"/>
      <c r="B63" s="261" t="s">
        <v>572</v>
      </c>
      <c r="C63" s="443" t="s">
        <v>33</v>
      </c>
      <c r="D63" s="254">
        <f>2*3.1416*F62/2</f>
        <v>4.052664</v>
      </c>
      <c r="E63" s="684"/>
      <c r="F63" s="255"/>
      <c r="G63" s="339"/>
      <c r="H63" s="258"/>
      <c r="I63" s="258"/>
      <c r="J63" s="222"/>
      <c r="K63" s="258"/>
      <c r="L63" s="258" t="s">
        <v>571</v>
      </c>
    </row>
    <row r="64" spans="1:20" ht="17.25" customHeight="1" x14ac:dyDescent="0.2">
      <c r="A64" s="222"/>
      <c r="B64" s="261" t="s">
        <v>579</v>
      </c>
      <c r="C64" s="443" t="s">
        <v>33</v>
      </c>
      <c r="D64" s="222"/>
      <c r="E64" s="255"/>
      <c r="F64" s="255"/>
      <c r="G64" s="254">
        <f>G49+G57</f>
        <v>1.84</v>
      </c>
      <c r="H64" s="258"/>
      <c r="I64" s="258"/>
      <c r="J64" s="222"/>
      <c r="K64" s="258"/>
      <c r="L64" s="258" t="s">
        <v>431</v>
      </c>
    </row>
    <row r="65" spans="1:21" ht="17.25" customHeight="1" x14ac:dyDescent="0.2">
      <c r="A65" s="222"/>
      <c r="B65" s="261" t="s">
        <v>432</v>
      </c>
      <c r="C65" s="443" t="s">
        <v>35</v>
      </c>
      <c r="D65" s="222"/>
      <c r="E65" s="255"/>
      <c r="F65" s="255"/>
      <c r="G65" s="339"/>
      <c r="H65" s="258"/>
      <c r="I65" s="258"/>
      <c r="J65" s="449">
        <f>D63*G64</f>
        <v>7.45690176</v>
      </c>
      <c r="K65" s="222" t="s">
        <v>35</v>
      </c>
      <c r="L65" s="258"/>
    </row>
    <row r="66" spans="1:21" ht="17.25" customHeight="1" x14ac:dyDescent="0.2">
      <c r="A66" s="222"/>
      <c r="B66" s="261"/>
      <c r="C66" s="443"/>
      <c r="D66" s="254"/>
      <c r="E66" s="255"/>
      <c r="F66" s="255"/>
      <c r="G66" s="339"/>
      <c r="H66" s="258"/>
      <c r="I66" s="258"/>
      <c r="J66" s="222"/>
      <c r="K66" s="258"/>
      <c r="L66" s="258"/>
    </row>
    <row r="67" spans="1:21" ht="17.25" customHeight="1" x14ac:dyDescent="0.2">
      <c r="A67" s="222"/>
      <c r="B67" s="261" t="s">
        <v>433</v>
      </c>
      <c r="C67" s="450" t="s">
        <v>418</v>
      </c>
      <c r="D67" s="684"/>
      <c r="E67" s="255"/>
      <c r="F67" s="254">
        <f>F62+(G54*2)</f>
        <v>1.57</v>
      </c>
      <c r="G67" s="339"/>
      <c r="H67" s="258"/>
      <c r="I67" s="258"/>
      <c r="J67" s="222"/>
      <c r="K67" s="258"/>
      <c r="L67" s="258" t="s">
        <v>575</v>
      </c>
    </row>
    <row r="68" spans="1:21" ht="17.25" customHeight="1" x14ac:dyDescent="0.2">
      <c r="A68" s="222"/>
      <c r="B68" s="261" t="s">
        <v>434</v>
      </c>
      <c r="C68" s="443" t="s">
        <v>33</v>
      </c>
      <c r="D68" s="254">
        <f>2*3.1416*F67/2</f>
        <v>4.9323120000000005</v>
      </c>
      <c r="E68" s="684"/>
      <c r="F68" s="255"/>
      <c r="G68" s="339"/>
      <c r="H68" s="258"/>
      <c r="I68" s="258"/>
      <c r="J68" s="222"/>
      <c r="K68" s="258"/>
      <c r="L68" s="258" t="s">
        <v>581</v>
      </c>
      <c r="N68" s="471"/>
      <c r="Q68" s="956" t="s">
        <v>590</v>
      </c>
      <c r="R68" s="956"/>
      <c r="S68" s="956"/>
      <c r="T68" s="956"/>
      <c r="U68" s="956"/>
    </row>
    <row r="69" spans="1:21" ht="17.25" customHeight="1" x14ac:dyDescent="0.2">
      <c r="A69" s="222"/>
      <c r="B69" s="261" t="s">
        <v>435</v>
      </c>
      <c r="C69" s="443" t="s">
        <v>33</v>
      </c>
      <c r="D69" s="222"/>
      <c r="E69" s="255"/>
      <c r="F69" s="255"/>
      <c r="G69" s="254">
        <f>G57</f>
        <v>0.49</v>
      </c>
      <c r="H69" s="258"/>
      <c r="I69" s="258"/>
      <c r="J69" s="222"/>
      <c r="K69" s="258"/>
      <c r="L69" s="258" t="s">
        <v>436</v>
      </c>
    </row>
    <row r="70" spans="1:21" ht="17.25" customHeight="1" x14ac:dyDescent="0.2">
      <c r="A70" s="222"/>
      <c r="B70" s="261" t="s">
        <v>427</v>
      </c>
      <c r="C70" s="443" t="s">
        <v>35</v>
      </c>
      <c r="D70" s="222"/>
      <c r="E70" s="255"/>
      <c r="F70" s="255"/>
      <c r="G70" s="339"/>
      <c r="H70" s="258"/>
      <c r="I70" s="258"/>
      <c r="J70" s="449">
        <f>D68*G69</f>
        <v>2.4168328800000003</v>
      </c>
      <c r="K70" s="222" t="s">
        <v>35</v>
      </c>
      <c r="L70" s="258"/>
    </row>
    <row r="71" spans="1:21" ht="17.25" customHeight="1" x14ac:dyDescent="0.2">
      <c r="A71" s="222"/>
      <c r="B71" s="261"/>
      <c r="C71" s="443"/>
      <c r="D71" s="254"/>
      <c r="E71" s="255"/>
      <c r="F71" s="255"/>
      <c r="G71" s="339"/>
      <c r="H71" s="258"/>
      <c r="I71" s="258"/>
      <c r="J71" s="222"/>
      <c r="K71" s="258"/>
      <c r="L71" s="258"/>
    </row>
    <row r="72" spans="1:21" ht="17.25" customHeight="1" x14ac:dyDescent="0.2">
      <c r="A72" s="222"/>
      <c r="B72" s="261" t="s">
        <v>437</v>
      </c>
      <c r="C72" s="450" t="s">
        <v>418</v>
      </c>
      <c r="D72" s="684"/>
      <c r="E72" s="255"/>
      <c r="F72" s="254">
        <f>F62+G54</f>
        <v>1.4300000000000002</v>
      </c>
      <c r="G72" s="339"/>
      <c r="H72" s="258"/>
      <c r="I72" s="258"/>
      <c r="J72" s="222"/>
      <c r="K72" s="258"/>
      <c r="L72" s="258" t="s">
        <v>574</v>
      </c>
      <c r="S72" s="262"/>
    </row>
    <row r="73" spans="1:21" ht="17.25" customHeight="1" x14ac:dyDescent="0.2">
      <c r="A73" s="222"/>
      <c r="B73" s="261" t="s">
        <v>438</v>
      </c>
      <c r="C73" s="443" t="s">
        <v>33</v>
      </c>
      <c r="D73" s="254">
        <f>2*3.1416*F72/2</f>
        <v>4.4924880000000007</v>
      </c>
      <c r="E73" s="684"/>
      <c r="F73" s="255"/>
      <c r="G73" s="339"/>
      <c r="H73" s="258"/>
      <c r="I73" s="258"/>
      <c r="J73" s="222"/>
      <c r="K73" s="258"/>
      <c r="L73" s="258" t="s">
        <v>580</v>
      </c>
      <c r="N73" s="472"/>
      <c r="Q73" s="956" t="s">
        <v>590</v>
      </c>
      <c r="R73" s="956"/>
      <c r="S73" s="956"/>
      <c r="T73" s="956"/>
      <c r="U73" s="956"/>
    </row>
    <row r="74" spans="1:21" ht="17.25" customHeight="1" x14ac:dyDescent="0.2">
      <c r="A74" s="222"/>
      <c r="B74" s="261" t="s">
        <v>439</v>
      </c>
      <c r="C74" s="443" t="s">
        <v>33</v>
      </c>
      <c r="D74" s="222"/>
      <c r="E74" s="255"/>
      <c r="F74" s="255"/>
      <c r="G74" s="254">
        <f>G54</f>
        <v>0.14000000000000001</v>
      </c>
      <c r="H74" s="258"/>
      <c r="I74" s="258"/>
      <c r="J74" s="222"/>
      <c r="K74" s="258"/>
      <c r="L74" s="258" t="s">
        <v>440</v>
      </c>
      <c r="N74" s="472"/>
      <c r="S74" s="262"/>
    </row>
    <row r="75" spans="1:21" ht="17.25" customHeight="1" x14ac:dyDescent="0.2">
      <c r="A75" s="222"/>
      <c r="B75" s="261" t="s">
        <v>441</v>
      </c>
      <c r="C75" s="443" t="s">
        <v>35</v>
      </c>
      <c r="D75" s="222"/>
      <c r="E75" s="255"/>
      <c r="F75" s="255"/>
      <c r="G75" s="339"/>
      <c r="H75" s="258"/>
      <c r="I75" s="258"/>
      <c r="J75" s="449">
        <f>D73*G74</f>
        <v>0.62894832000000012</v>
      </c>
      <c r="K75" s="222" t="s">
        <v>35</v>
      </c>
      <c r="L75" s="258"/>
      <c r="N75" s="472" t="s">
        <v>442</v>
      </c>
    </row>
    <row r="76" spans="1:21" ht="17.25" customHeight="1" x14ac:dyDescent="0.2">
      <c r="A76" s="222"/>
      <c r="B76" s="261"/>
      <c r="C76" s="443"/>
      <c r="D76" s="254"/>
      <c r="E76" s="255"/>
      <c r="F76" s="255"/>
      <c r="G76" s="339"/>
      <c r="H76" s="258"/>
      <c r="I76" s="258"/>
      <c r="J76" s="222"/>
      <c r="K76" s="258"/>
      <c r="L76" s="453"/>
    </row>
    <row r="77" spans="1:21" ht="17.25" customHeight="1" x14ac:dyDescent="0.2">
      <c r="A77" s="222"/>
      <c r="B77" s="612" t="s">
        <v>443</v>
      </c>
      <c r="C77" s="460"/>
      <c r="D77" s="222"/>
      <c r="E77" s="255"/>
      <c r="F77" s="255"/>
      <c r="G77" s="339"/>
      <c r="H77" s="258"/>
      <c r="I77" s="258"/>
      <c r="J77" s="449">
        <f>J65+J70+J75</f>
        <v>10.502682960000001</v>
      </c>
      <c r="K77" s="443" t="s">
        <v>35</v>
      </c>
      <c r="L77" s="258" t="s">
        <v>444</v>
      </c>
    </row>
    <row r="78" spans="1:21" ht="17.25" customHeight="1" x14ac:dyDescent="0.2">
      <c r="A78" s="222"/>
      <c r="B78" s="219"/>
      <c r="C78" s="460"/>
      <c r="D78" s="254"/>
      <c r="E78" s="255"/>
      <c r="F78" s="255"/>
      <c r="G78" s="339"/>
      <c r="H78" s="258"/>
      <c r="I78" s="258"/>
      <c r="J78" s="222"/>
      <c r="K78" s="258"/>
      <c r="L78" s="453"/>
    </row>
    <row r="79" spans="1:21" ht="54.95" customHeight="1" x14ac:dyDescent="0.2">
      <c r="A79" s="443" t="s">
        <v>27</v>
      </c>
      <c r="B79" s="610" t="s">
        <v>314</v>
      </c>
      <c r="C79" s="443" t="s">
        <v>35</v>
      </c>
      <c r="D79" s="449">
        <f>J80</f>
        <v>11.552951256000002</v>
      </c>
      <c r="E79" s="255"/>
      <c r="F79" s="255"/>
      <c r="G79" s="339"/>
      <c r="H79" s="258"/>
      <c r="I79" s="258"/>
      <c r="J79" s="222"/>
      <c r="K79" s="258"/>
      <c r="L79" s="453"/>
    </row>
    <row r="80" spans="1:21" ht="17.25" customHeight="1" x14ac:dyDescent="0.2">
      <c r="A80" s="222"/>
      <c r="B80" s="394" t="s">
        <v>445</v>
      </c>
      <c r="C80" s="443" t="s">
        <v>7</v>
      </c>
      <c r="D80" s="222"/>
      <c r="E80" s="255"/>
      <c r="F80" s="255"/>
      <c r="G80" s="266"/>
      <c r="H80" s="258"/>
      <c r="I80" s="258"/>
      <c r="J80" s="449">
        <f>(J65+J70+J75)*1.1</f>
        <v>11.552951256000002</v>
      </c>
      <c r="K80" s="443" t="s">
        <v>35</v>
      </c>
      <c r="L80" s="613" t="s">
        <v>588</v>
      </c>
    </row>
    <row r="81" spans="1:21" ht="17.25" customHeight="1" x14ac:dyDescent="0.2">
      <c r="A81" s="222"/>
      <c r="B81" s="610"/>
      <c r="C81" s="443"/>
      <c r="D81" s="254"/>
      <c r="E81" s="255"/>
      <c r="F81" s="255"/>
      <c r="G81" s="266"/>
      <c r="H81" s="258"/>
      <c r="I81" s="258"/>
      <c r="J81" s="222"/>
      <c r="K81" s="258"/>
      <c r="L81" s="453"/>
      <c r="Q81" s="956" t="s">
        <v>590</v>
      </c>
      <c r="R81" s="956"/>
      <c r="S81" s="956"/>
      <c r="T81" s="956"/>
      <c r="U81" s="956"/>
    </row>
    <row r="82" spans="1:21" ht="17.25" customHeight="1" x14ac:dyDescent="0.2">
      <c r="A82" s="222"/>
      <c r="B82" s="612" t="s">
        <v>51</v>
      </c>
      <c r="C82" s="443"/>
      <c r="D82" s="254"/>
      <c r="E82" s="255"/>
      <c r="F82" s="255"/>
      <c r="G82" s="266"/>
      <c r="H82" s="258"/>
      <c r="I82" s="258"/>
      <c r="J82" s="222"/>
      <c r="K82" s="258"/>
      <c r="L82" s="453"/>
    </row>
    <row r="83" spans="1:21" ht="17.25" customHeight="1" x14ac:dyDescent="0.2">
      <c r="A83" s="222"/>
      <c r="B83" s="610"/>
      <c r="C83" s="443"/>
      <c r="D83" s="254"/>
      <c r="E83" s="255"/>
      <c r="F83" s="255"/>
      <c r="G83" s="266"/>
      <c r="H83" s="258"/>
      <c r="I83" s="258"/>
      <c r="J83" s="222"/>
      <c r="K83" s="258"/>
      <c r="L83" s="453"/>
    </row>
    <row r="84" spans="1:21" ht="17.25" customHeight="1" x14ac:dyDescent="0.2">
      <c r="A84" s="222"/>
      <c r="B84" s="219"/>
      <c r="C84" s="443"/>
      <c r="D84" s="254"/>
      <c r="E84" s="255"/>
      <c r="F84" s="255"/>
      <c r="G84" s="474"/>
      <c r="H84" s="258"/>
      <c r="I84" s="258"/>
      <c r="J84" s="458"/>
      <c r="K84" s="443"/>
      <c r="L84" s="453"/>
    </row>
    <row r="85" spans="1:21" ht="51" customHeight="1" x14ac:dyDescent="0.2">
      <c r="A85" s="443" t="s">
        <v>58</v>
      </c>
      <c r="B85" s="586" t="s">
        <v>586</v>
      </c>
      <c r="C85" s="443" t="s">
        <v>416</v>
      </c>
      <c r="D85" s="449">
        <f>J89</f>
        <v>0.1027559764</v>
      </c>
      <c r="E85" s="255"/>
      <c r="F85" s="255"/>
      <c r="G85" s="474"/>
      <c r="H85" s="258"/>
      <c r="I85" s="258"/>
      <c r="J85" s="222"/>
      <c r="K85" s="222"/>
      <c r="L85" s="453"/>
    </row>
    <row r="86" spans="1:21" ht="17.25" customHeight="1" x14ac:dyDescent="0.2">
      <c r="A86" s="443"/>
      <c r="B86" s="394" t="s">
        <v>582</v>
      </c>
      <c r="C86" s="450" t="s">
        <v>418</v>
      </c>
      <c r="D86" s="254"/>
      <c r="E86" s="255"/>
      <c r="F86" s="255">
        <f>F62+((G54/3)*2*2)</f>
        <v>1.4766666666666668</v>
      </c>
      <c r="G86" s="474"/>
      <c r="H86" s="258"/>
      <c r="I86" s="258"/>
      <c r="J86" s="222"/>
      <c r="K86" s="222"/>
      <c r="L86" s="453" t="s">
        <v>587</v>
      </c>
      <c r="T86" s="607"/>
    </row>
    <row r="87" spans="1:21" ht="17.25" customHeight="1" x14ac:dyDescent="0.2">
      <c r="A87" s="443"/>
      <c r="B87" s="394" t="s">
        <v>585</v>
      </c>
      <c r="C87" s="443" t="s">
        <v>7</v>
      </c>
      <c r="D87" s="454">
        <f>3.1416*F86*F86/4</f>
        <v>1.7125996066666669</v>
      </c>
      <c r="E87" s="255"/>
      <c r="F87" s="255"/>
      <c r="G87" s="474"/>
      <c r="H87" s="258"/>
      <c r="I87" s="258"/>
      <c r="J87" s="222"/>
      <c r="K87" s="222"/>
      <c r="L87" s="453" t="s">
        <v>731</v>
      </c>
      <c r="Q87" s="956" t="s">
        <v>590</v>
      </c>
      <c r="R87" s="956"/>
      <c r="S87" s="956"/>
      <c r="T87" s="956"/>
      <c r="U87" s="956"/>
    </row>
    <row r="88" spans="1:21" ht="17.25" customHeight="1" x14ac:dyDescent="0.2">
      <c r="A88" s="443"/>
      <c r="B88" s="394" t="s">
        <v>583</v>
      </c>
      <c r="C88" s="443" t="s">
        <v>33</v>
      </c>
      <c r="D88" s="587"/>
      <c r="E88" s="255"/>
      <c r="F88" s="255"/>
      <c r="G88" s="474">
        <v>0.06</v>
      </c>
      <c r="H88" s="258"/>
      <c r="I88" s="258"/>
      <c r="J88" s="222"/>
      <c r="K88" s="222"/>
      <c r="L88" s="453"/>
    </row>
    <row r="89" spans="1:21" ht="17.25" customHeight="1" x14ac:dyDescent="0.2">
      <c r="A89" s="443"/>
      <c r="B89" s="394" t="s">
        <v>584</v>
      </c>
      <c r="C89" s="443" t="s">
        <v>416</v>
      </c>
      <c r="D89" s="587"/>
      <c r="E89" s="255"/>
      <c r="F89" s="255"/>
      <c r="G89" s="474"/>
      <c r="H89" s="258"/>
      <c r="I89" s="258"/>
      <c r="J89" s="458">
        <f>D87*G88</f>
        <v>0.1027559764</v>
      </c>
      <c r="K89" s="443" t="s">
        <v>416</v>
      </c>
      <c r="L89" s="453"/>
    </row>
    <row r="90" spans="1:21" ht="17.25" customHeight="1" x14ac:dyDescent="0.2">
      <c r="A90" s="443"/>
      <c r="B90" s="394"/>
      <c r="C90" s="443"/>
      <c r="D90" s="587"/>
      <c r="E90" s="255"/>
      <c r="F90" s="255"/>
      <c r="G90" s="474"/>
      <c r="H90" s="258"/>
      <c r="I90" s="258"/>
      <c r="J90" s="458"/>
      <c r="K90" s="443"/>
      <c r="L90" s="453"/>
    </row>
    <row r="91" spans="1:21" ht="17.25" customHeight="1" x14ac:dyDescent="0.2">
      <c r="A91" s="443" t="s">
        <v>59</v>
      </c>
      <c r="B91" s="610" t="s">
        <v>732</v>
      </c>
      <c r="C91" s="443" t="s">
        <v>416</v>
      </c>
      <c r="D91" s="458">
        <f>J95</f>
        <v>0.35939904000000006</v>
      </c>
      <c r="E91" s="255"/>
      <c r="F91" s="255"/>
      <c r="G91" s="474"/>
      <c r="H91" s="258"/>
      <c r="I91" s="258"/>
      <c r="J91" s="458"/>
      <c r="K91" s="443"/>
      <c r="L91" s="453"/>
    </row>
    <row r="92" spans="1:21" ht="17.25" customHeight="1" x14ac:dyDescent="0.2">
      <c r="A92" s="443"/>
      <c r="B92" s="394" t="s">
        <v>733</v>
      </c>
      <c r="C92" s="443" t="s">
        <v>7</v>
      </c>
      <c r="D92" s="454">
        <v>0.08</v>
      </c>
      <c r="E92" s="255"/>
      <c r="F92" s="255"/>
      <c r="G92" s="474"/>
      <c r="H92" s="258"/>
      <c r="I92" s="258"/>
      <c r="J92" s="458"/>
      <c r="K92" s="443"/>
      <c r="L92" s="258" t="s">
        <v>736</v>
      </c>
    </row>
    <row r="93" spans="1:21" ht="17.25" customHeight="1" x14ac:dyDescent="0.2">
      <c r="A93" s="443"/>
      <c r="B93" s="394" t="s">
        <v>734</v>
      </c>
      <c r="C93" s="443" t="s">
        <v>33</v>
      </c>
      <c r="D93" s="454">
        <f>D73</f>
        <v>4.4924880000000007</v>
      </c>
      <c r="E93" s="255"/>
      <c r="F93" s="255"/>
      <c r="G93" s="474"/>
      <c r="H93" s="258"/>
      <c r="I93" s="258"/>
      <c r="J93" s="458"/>
      <c r="K93" s="443"/>
      <c r="L93" s="453"/>
    </row>
    <row r="94" spans="1:21" ht="17.25" customHeight="1" x14ac:dyDescent="0.2">
      <c r="A94" s="443"/>
      <c r="B94" s="394"/>
      <c r="C94" s="443"/>
      <c r="D94" s="587"/>
      <c r="E94" s="255"/>
      <c r="F94" s="255"/>
      <c r="G94" s="474"/>
      <c r="H94" s="258"/>
      <c r="I94" s="258"/>
      <c r="J94" s="458"/>
      <c r="K94" s="443"/>
      <c r="L94" s="453"/>
    </row>
    <row r="95" spans="1:21" ht="17.25" customHeight="1" x14ac:dyDescent="0.2">
      <c r="A95" s="443"/>
      <c r="B95" s="394" t="s">
        <v>735</v>
      </c>
      <c r="C95" s="443" t="s">
        <v>416</v>
      </c>
      <c r="D95" s="254"/>
      <c r="E95" s="255"/>
      <c r="F95" s="255"/>
      <c r="G95" s="474"/>
      <c r="H95" s="258"/>
      <c r="I95" s="258"/>
      <c r="J95" s="458">
        <f>D93*D92</f>
        <v>0.35939904000000006</v>
      </c>
      <c r="K95" s="443" t="s">
        <v>416</v>
      </c>
      <c r="L95" s="453"/>
      <c r="T95" s="608"/>
    </row>
    <row r="96" spans="1:21" ht="17.25" hidden="1" customHeight="1" x14ac:dyDescent="0.2">
      <c r="A96" s="443"/>
      <c r="B96" s="586"/>
      <c r="C96" s="586"/>
      <c r="D96" s="254"/>
      <c r="E96" s="255"/>
      <c r="F96" s="255"/>
      <c r="G96" s="474"/>
      <c r="H96" s="258"/>
      <c r="I96" s="258"/>
      <c r="J96" s="222"/>
      <c r="K96" s="222"/>
      <c r="L96" s="453"/>
    </row>
    <row r="97" spans="1:23" ht="17.25" hidden="1" customHeight="1" x14ac:dyDescent="0.2">
      <c r="A97" s="588" t="s">
        <v>34</v>
      </c>
      <c r="B97" s="589" t="s">
        <v>36</v>
      </c>
      <c r="C97" s="588" t="s">
        <v>416</v>
      </c>
      <c r="D97" s="590">
        <f>J110</f>
        <v>0.21887528959999999</v>
      </c>
      <c r="E97" s="591"/>
      <c r="F97" s="591"/>
      <c r="G97" s="592"/>
      <c r="H97" s="593"/>
      <c r="I97" s="593"/>
      <c r="J97" s="594"/>
      <c r="K97" s="594"/>
      <c r="L97" s="595"/>
    </row>
    <row r="98" spans="1:23" ht="17.25" hidden="1" customHeight="1" x14ac:dyDescent="0.2">
      <c r="A98" s="594"/>
      <c r="B98" s="596" t="s">
        <v>448</v>
      </c>
      <c r="C98" s="588"/>
      <c r="D98" s="597"/>
      <c r="E98" s="591"/>
      <c r="F98" s="593"/>
      <c r="G98" s="594"/>
      <c r="H98" s="593"/>
      <c r="I98" s="593"/>
      <c r="J98" s="594"/>
      <c r="K98" s="594"/>
      <c r="L98" s="595"/>
    </row>
    <row r="99" spans="1:23" ht="17.25" hidden="1" customHeight="1" x14ac:dyDescent="0.2">
      <c r="A99" s="594"/>
      <c r="B99" s="596" t="s">
        <v>449</v>
      </c>
      <c r="C99" s="598" t="s">
        <v>418</v>
      </c>
      <c r="D99" s="597"/>
      <c r="E99" s="591"/>
      <c r="F99" s="591">
        <v>1.52</v>
      </c>
      <c r="G99" s="594"/>
      <c r="H99" s="593"/>
      <c r="I99" s="593"/>
      <c r="J99" s="594"/>
      <c r="K99" s="594"/>
      <c r="L99" s="595"/>
    </row>
    <row r="100" spans="1:23" ht="17.25" hidden="1" customHeight="1" x14ac:dyDescent="0.2">
      <c r="A100" s="594"/>
      <c r="B100" s="599" t="s">
        <v>450</v>
      </c>
      <c r="C100" s="588" t="s">
        <v>33</v>
      </c>
      <c r="D100" s="597"/>
      <c r="E100" s="591"/>
      <c r="F100" s="591"/>
      <c r="G100" s="594">
        <v>0.06</v>
      </c>
      <c r="H100" s="593"/>
      <c r="I100" s="593"/>
      <c r="J100" s="600"/>
      <c r="K100" s="594"/>
      <c r="L100" s="595"/>
    </row>
    <row r="101" spans="1:23" ht="17.25" hidden="1" customHeight="1" x14ac:dyDescent="0.2">
      <c r="A101" s="594"/>
      <c r="B101" s="599" t="s">
        <v>451</v>
      </c>
      <c r="C101" s="588" t="s">
        <v>35</v>
      </c>
      <c r="D101" s="597">
        <f>3.1416*F99*F99/4</f>
        <v>1.81458816</v>
      </c>
      <c r="E101" s="591"/>
      <c r="F101" s="591"/>
      <c r="G101" s="594"/>
      <c r="H101" s="593"/>
      <c r="I101" s="593"/>
      <c r="J101" s="600"/>
      <c r="K101" s="594"/>
      <c r="L101" s="595" t="s">
        <v>452</v>
      </c>
      <c r="N101" s="475">
        <f>3.1416*F99*F99/4</f>
        <v>1.81458816</v>
      </c>
    </row>
    <row r="102" spans="1:23" ht="17.25" hidden="1" customHeight="1" x14ac:dyDescent="0.2">
      <c r="A102" s="594"/>
      <c r="B102" s="599" t="s">
        <v>453</v>
      </c>
      <c r="C102" s="588" t="s">
        <v>416</v>
      </c>
      <c r="D102" s="597">
        <f>D101*G100</f>
        <v>0.10887528959999999</v>
      </c>
      <c r="E102" s="591"/>
      <c r="F102" s="591"/>
      <c r="G102" s="594"/>
      <c r="H102" s="593"/>
      <c r="I102" s="593"/>
      <c r="J102" s="600"/>
      <c r="K102" s="594"/>
      <c r="L102" s="595"/>
      <c r="N102" s="476"/>
    </row>
    <row r="103" spans="1:23" ht="17.25" hidden="1" customHeight="1" x14ac:dyDescent="0.2">
      <c r="A103" s="594"/>
      <c r="B103" s="599" t="s">
        <v>454</v>
      </c>
      <c r="C103" s="588"/>
      <c r="D103" s="597"/>
      <c r="E103" s="591"/>
      <c r="F103" s="591"/>
      <c r="G103" s="594"/>
      <c r="H103" s="593"/>
      <c r="I103" s="593"/>
      <c r="J103" s="600">
        <f>D102</f>
        <v>0.10887528959999999</v>
      </c>
      <c r="K103" s="594" t="s">
        <v>416</v>
      </c>
      <c r="L103" s="595"/>
    </row>
    <row r="104" spans="1:23" ht="17.25" hidden="1" customHeight="1" x14ac:dyDescent="0.2">
      <c r="A104" s="594" t="s">
        <v>455</v>
      </c>
      <c r="B104" s="599" t="s">
        <v>456</v>
      </c>
      <c r="C104" s="601"/>
      <c r="D104" s="597"/>
      <c r="E104" s="591"/>
      <c r="F104" s="591"/>
      <c r="G104" s="594"/>
      <c r="H104" s="593"/>
      <c r="I104" s="593"/>
      <c r="J104" s="600"/>
      <c r="K104" s="594"/>
      <c r="L104" s="595"/>
    </row>
    <row r="105" spans="1:23" ht="17.25" hidden="1" customHeight="1" x14ac:dyDescent="0.2">
      <c r="A105" s="594"/>
      <c r="B105" s="599" t="s">
        <v>449</v>
      </c>
      <c r="C105" s="598" t="s">
        <v>418</v>
      </c>
      <c r="D105" s="597"/>
      <c r="E105" s="591"/>
      <c r="F105" s="591">
        <v>1.55</v>
      </c>
      <c r="G105" s="594"/>
      <c r="H105" s="593"/>
      <c r="I105" s="593"/>
      <c r="J105" s="600"/>
      <c r="K105" s="594"/>
      <c r="L105" s="595"/>
      <c r="Q105" s="954" t="s">
        <v>411</v>
      </c>
      <c r="R105" s="955"/>
      <c r="S105" s="955"/>
      <c r="T105" s="955"/>
      <c r="U105" s="955"/>
      <c r="V105" s="955"/>
      <c r="W105" s="955"/>
    </row>
    <row r="106" spans="1:23" ht="17.25" hidden="1" customHeight="1" x14ac:dyDescent="0.2">
      <c r="A106" s="594"/>
      <c r="B106" s="599" t="s">
        <v>450</v>
      </c>
      <c r="C106" s="588" t="s">
        <v>33</v>
      </c>
      <c r="D106" s="597"/>
      <c r="E106" s="591"/>
      <c r="F106" s="591"/>
      <c r="G106" s="594">
        <v>0.06</v>
      </c>
      <c r="H106" s="593"/>
      <c r="I106" s="593"/>
      <c r="J106" s="600"/>
      <c r="K106" s="594"/>
      <c r="L106" s="595"/>
      <c r="Q106" s="954"/>
      <c r="R106" s="955"/>
      <c r="S106" s="955"/>
      <c r="T106" s="955"/>
      <c r="U106" s="955"/>
      <c r="V106" s="955"/>
      <c r="W106" s="955"/>
    </row>
    <row r="107" spans="1:23" ht="17.25" hidden="1" customHeight="1" x14ac:dyDescent="0.2">
      <c r="A107" s="594"/>
      <c r="B107" s="599" t="s">
        <v>451</v>
      </c>
      <c r="C107" s="588" t="s">
        <v>35</v>
      </c>
      <c r="D107" s="597">
        <f>3.1416*F105*F105/4</f>
        <v>1.8869235000000002</v>
      </c>
      <c r="E107" s="591"/>
      <c r="F107" s="591"/>
      <c r="G107" s="594"/>
      <c r="H107" s="593"/>
      <c r="I107" s="593"/>
      <c r="J107" s="594"/>
      <c r="K107" s="594"/>
      <c r="L107" s="595" t="s">
        <v>457</v>
      </c>
      <c r="N107" s="465">
        <f>3.1416*1.55*1.55/4</f>
        <v>1.8869235000000002</v>
      </c>
    </row>
    <row r="108" spans="1:23" ht="17.25" hidden="1" customHeight="1" x14ac:dyDescent="0.2">
      <c r="A108" s="594"/>
      <c r="B108" s="599" t="s">
        <v>453</v>
      </c>
      <c r="C108" s="588" t="s">
        <v>416</v>
      </c>
      <c r="D108" s="597">
        <f>D107*G106</f>
        <v>0.11321541</v>
      </c>
      <c r="E108" s="591"/>
      <c r="F108" s="591"/>
      <c r="G108" s="594"/>
      <c r="H108" s="593"/>
      <c r="I108" s="593"/>
      <c r="J108" s="594"/>
      <c r="K108" s="594"/>
      <c r="L108" s="595"/>
    </row>
    <row r="109" spans="1:23" ht="17.25" hidden="1" customHeight="1" x14ac:dyDescent="0.2">
      <c r="A109" s="594"/>
      <c r="B109" s="599" t="s">
        <v>458</v>
      </c>
      <c r="C109" s="588"/>
      <c r="D109" s="597"/>
      <c r="E109" s="591"/>
      <c r="F109" s="591"/>
      <c r="G109" s="594"/>
      <c r="H109" s="593"/>
      <c r="I109" s="593"/>
      <c r="J109" s="594">
        <v>0.11</v>
      </c>
      <c r="K109" s="594" t="s">
        <v>416</v>
      </c>
      <c r="L109" s="595" t="s">
        <v>459</v>
      </c>
    </row>
    <row r="110" spans="1:23" ht="17.25" hidden="1" customHeight="1" x14ac:dyDescent="0.2">
      <c r="A110" s="594"/>
      <c r="B110" s="602" t="s">
        <v>460</v>
      </c>
      <c r="C110" s="588"/>
      <c r="D110" s="597"/>
      <c r="E110" s="591"/>
      <c r="F110" s="591"/>
      <c r="G110" s="594"/>
      <c r="H110" s="593"/>
      <c r="I110" s="593"/>
      <c r="J110" s="603">
        <f>J103+J109</f>
        <v>0.21887528959999999</v>
      </c>
      <c r="K110" s="588" t="s">
        <v>416</v>
      </c>
      <c r="L110" s="595" t="s">
        <v>461</v>
      </c>
    </row>
    <row r="111" spans="1:23" ht="17.25" hidden="1" customHeight="1" x14ac:dyDescent="0.2">
      <c r="A111" s="594"/>
      <c r="B111" s="602"/>
      <c r="C111" s="588"/>
      <c r="D111" s="597"/>
      <c r="E111" s="591"/>
      <c r="F111" s="591"/>
      <c r="G111" s="594"/>
      <c r="H111" s="593"/>
      <c r="I111" s="593"/>
      <c r="J111" s="594"/>
      <c r="K111" s="594"/>
      <c r="L111" s="595"/>
    </row>
    <row r="112" spans="1:23" ht="17.25" hidden="1" customHeight="1" x14ac:dyDescent="0.2">
      <c r="A112" s="588" t="s">
        <v>40</v>
      </c>
      <c r="B112" s="589" t="s">
        <v>321</v>
      </c>
      <c r="C112" s="588" t="s">
        <v>22</v>
      </c>
      <c r="D112" s="590">
        <f>J113</f>
        <v>0.1</v>
      </c>
      <c r="E112" s="591"/>
      <c r="F112" s="591"/>
      <c r="G112" s="594"/>
      <c r="H112" s="593"/>
      <c r="I112" s="593"/>
      <c r="J112" s="594"/>
      <c r="K112" s="594"/>
      <c r="L112" s="595"/>
    </row>
    <row r="113" spans="1:12" ht="17.25" hidden="1" customHeight="1" x14ac:dyDescent="0.2">
      <c r="A113" s="594"/>
      <c r="B113" s="602" t="s">
        <v>51</v>
      </c>
      <c r="C113" s="588" t="s">
        <v>22</v>
      </c>
      <c r="D113" s="597"/>
      <c r="E113" s="591"/>
      <c r="F113" s="591"/>
      <c r="G113" s="594"/>
      <c r="H113" s="593"/>
      <c r="I113" s="593"/>
      <c r="J113" s="600">
        <v>0.1</v>
      </c>
      <c r="K113" s="594" t="s">
        <v>22</v>
      </c>
      <c r="L113" s="595" t="s">
        <v>462</v>
      </c>
    </row>
    <row r="114" spans="1:12" ht="17.25" hidden="1" customHeight="1" x14ac:dyDescent="0.2">
      <c r="A114" s="594"/>
      <c r="B114" s="589"/>
      <c r="C114" s="604"/>
      <c r="D114" s="597"/>
      <c r="E114" s="591"/>
      <c r="F114" s="591"/>
      <c r="G114" s="594"/>
      <c r="H114" s="593"/>
      <c r="I114" s="593"/>
      <c r="J114" s="594"/>
      <c r="K114" s="593"/>
      <c r="L114" s="595"/>
    </row>
    <row r="115" spans="1:12" ht="30.75" hidden="1" customHeight="1" x14ac:dyDescent="0.2">
      <c r="A115" s="588" t="s">
        <v>58</v>
      </c>
      <c r="B115" s="605" t="s">
        <v>170</v>
      </c>
      <c r="C115" s="588" t="s">
        <v>10</v>
      </c>
      <c r="D115" s="590">
        <f>J116</f>
        <v>0.1</v>
      </c>
      <c r="E115" s="606"/>
      <c r="F115" s="591"/>
      <c r="G115" s="592"/>
      <c r="H115" s="593"/>
      <c r="I115" s="593"/>
      <c r="J115" s="594"/>
      <c r="K115" s="593"/>
      <c r="L115" s="595"/>
    </row>
    <row r="116" spans="1:12" ht="17.25" hidden="1" customHeight="1" x14ac:dyDescent="0.2">
      <c r="A116" s="594"/>
      <c r="B116" s="605"/>
      <c r="C116" s="588" t="s">
        <v>10</v>
      </c>
      <c r="D116" s="597"/>
      <c r="E116" s="606"/>
      <c r="F116" s="591"/>
      <c r="G116" s="592"/>
      <c r="H116" s="593"/>
      <c r="I116" s="593"/>
      <c r="J116" s="600">
        <f>J113</f>
        <v>0.1</v>
      </c>
      <c r="K116" s="594" t="s">
        <v>416</v>
      </c>
      <c r="L116" s="595" t="s">
        <v>462</v>
      </c>
    </row>
    <row r="117" spans="1:12" ht="17.25" hidden="1" customHeight="1" x14ac:dyDescent="0.2">
      <c r="A117" s="594"/>
      <c r="B117" s="605"/>
      <c r="C117" s="588"/>
      <c r="D117" s="597"/>
      <c r="E117" s="606"/>
      <c r="F117" s="591"/>
      <c r="G117" s="592"/>
      <c r="H117" s="593"/>
      <c r="I117" s="593"/>
      <c r="J117" s="594"/>
      <c r="K117" s="593"/>
      <c r="L117" s="595"/>
    </row>
    <row r="118" spans="1:12" ht="17.25" hidden="1" customHeight="1" x14ac:dyDescent="0.2">
      <c r="A118" s="222"/>
      <c r="B118" s="219"/>
      <c r="C118" s="443"/>
      <c r="D118" s="254"/>
      <c r="E118" s="237"/>
      <c r="F118" s="255"/>
      <c r="G118" s="266"/>
      <c r="H118" s="258"/>
      <c r="I118" s="258"/>
      <c r="J118" s="222"/>
      <c r="K118" s="258"/>
      <c r="L118" s="453"/>
    </row>
    <row r="119" spans="1:12" ht="17.25" customHeight="1" x14ac:dyDescent="0.2">
      <c r="A119" s="461"/>
      <c r="F119" s="212"/>
    </row>
    <row r="120" spans="1:12" ht="17.25" customHeight="1" x14ac:dyDescent="0.2"/>
    <row r="121" spans="1:12" ht="52.5" customHeight="1" x14ac:dyDescent="0.2">
      <c r="A121" s="953" t="s">
        <v>463</v>
      </c>
      <c r="B121" s="953"/>
      <c r="C121" s="953"/>
      <c r="D121" s="953"/>
      <c r="E121" s="953"/>
      <c r="F121" s="953"/>
      <c r="G121" s="953"/>
      <c r="H121" s="953"/>
      <c r="I121" s="953"/>
      <c r="J121" s="953"/>
      <c r="K121" s="953"/>
      <c r="L121" s="953"/>
    </row>
  </sheetData>
  <sheetProtection algorithmName="SHA-512" hashValue="2PbEt2svvjH8ANDibrfIbFsguOrSBvmmN8h38tVDy3H0e9K9qrPNqPk18HWbg62sAZtbruMbuhDEbB+7E+QXQQ==" saltValue="W8WzO8faefjpUYyYklJDtg==" spinCount="100000" sheet="1" objects="1" selectLockedCells="1" selectUnlockedCells="1"/>
  <mergeCells count="9">
    <mergeCell ref="A1:L1"/>
    <mergeCell ref="B52:E52"/>
    <mergeCell ref="A121:L121"/>
    <mergeCell ref="Q105:W106"/>
    <mergeCell ref="Q87:U87"/>
    <mergeCell ref="Q81:U81"/>
    <mergeCell ref="Q68:U68"/>
    <mergeCell ref="Q73:U73"/>
    <mergeCell ref="K2:L2"/>
  </mergeCells>
  <printOptions horizontalCentered="1"/>
  <pageMargins left="0.51181102362204722" right="0.51181102362204722" top="0.78740157480314965" bottom="0.78740157480314965" header="0.31496062992125984" footer="0.31496062992125984"/>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C1:M86"/>
  <sheetViews>
    <sheetView topLeftCell="A28" workbookViewId="0">
      <selection activeCell="N11" sqref="N11"/>
    </sheetView>
  </sheetViews>
  <sheetFormatPr defaultRowHeight="12.75" x14ac:dyDescent="0.2"/>
  <cols>
    <col min="3" max="3" width="13.28515625" customWidth="1"/>
    <col min="4" max="4" width="11" customWidth="1"/>
    <col min="5" max="5" width="11.42578125" customWidth="1"/>
    <col min="6" max="6" width="11.140625" customWidth="1"/>
    <col min="7" max="7" width="9" customWidth="1"/>
    <col min="8" max="8" width="17" customWidth="1"/>
    <col min="9" max="9" width="12.28515625" customWidth="1"/>
    <col min="10" max="10" width="16.7109375" customWidth="1"/>
    <col min="11" max="11" width="13.28515625" customWidth="1"/>
  </cols>
  <sheetData>
    <row r="1" spans="3:11" ht="13.5" thickBot="1" x14ac:dyDescent="0.25"/>
    <row r="2" spans="3:11" x14ac:dyDescent="0.2">
      <c r="C2" s="531" t="s">
        <v>211</v>
      </c>
      <c r="D2" s="532"/>
      <c r="E2" s="532"/>
      <c r="F2" s="532"/>
      <c r="G2" s="532"/>
      <c r="H2" s="532"/>
      <c r="I2" s="532"/>
      <c r="J2" s="532"/>
      <c r="K2" s="533"/>
    </row>
    <row r="3" spans="3:11" x14ac:dyDescent="0.2">
      <c r="C3" s="614"/>
      <c r="D3" s="235"/>
      <c r="E3" s="235"/>
      <c r="F3" s="235"/>
      <c r="G3" s="235"/>
      <c r="H3" s="235"/>
      <c r="I3" s="235"/>
      <c r="J3" s="235"/>
      <c r="K3" s="534"/>
    </row>
    <row r="4" spans="3:11" x14ac:dyDescent="0.2">
      <c r="C4" s="970" t="s">
        <v>224</v>
      </c>
      <c r="D4" s="971"/>
      <c r="E4" s="971"/>
      <c r="F4" s="971"/>
      <c r="G4" s="971"/>
      <c r="H4" s="971"/>
      <c r="I4" s="971"/>
      <c r="J4" s="971"/>
      <c r="K4" s="972"/>
    </row>
    <row r="5" spans="3:11" ht="27" customHeight="1" x14ac:dyDescent="0.2">
      <c r="C5" s="973" t="s">
        <v>217</v>
      </c>
      <c r="D5" s="974"/>
      <c r="E5" s="974"/>
      <c r="F5" s="974"/>
      <c r="G5" s="974"/>
      <c r="H5" s="974"/>
      <c r="I5" s="974"/>
      <c r="J5" s="974"/>
      <c r="K5" s="975"/>
    </row>
    <row r="6" spans="3:11" ht="19.5" customHeight="1" x14ac:dyDescent="0.2">
      <c r="C6" s="976" t="s">
        <v>218</v>
      </c>
      <c r="D6" s="977"/>
      <c r="E6" s="977"/>
      <c r="F6" s="977"/>
      <c r="G6" s="977"/>
      <c r="H6" s="977"/>
      <c r="I6" s="977"/>
      <c r="J6" s="977"/>
      <c r="K6" s="978"/>
    </row>
    <row r="7" spans="3:11" ht="19.5" customHeight="1" x14ac:dyDescent="0.2">
      <c r="C7" s="976" t="s">
        <v>216</v>
      </c>
      <c r="D7" s="977"/>
      <c r="E7" s="977"/>
      <c r="F7" s="977"/>
      <c r="G7" s="977"/>
      <c r="H7" s="977"/>
      <c r="I7" s="977"/>
      <c r="J7" s="977"/>
      <c r="K7" s="978"/>
    </row>
    <row r="8" spans="3:11" ht="19.5" customHeight="1" thickBot="1" x14ac:dyDescent="0.25">
      <c r="C8" s="979" t="s">
        <v>243</v>
      </c>
      <c r="D8" s="980"/>
      <c r="E8" s="980"/>
      <c r="F8" s="980"/>
      <c r="G8" s="980"/>
      <c r="H8" s="980"/>
      <c r="I8" s="980"/>
      <c r="J8" s="980"/>
      <c r="K8" s="981"/>
    </row>
    <row r="9" spans="3:11" ht="13.5" thickBot="1" x14ac:dyDescent="0.25"/>
    <row r="10" spans="3:11" ht="20.25" x14ac:dyDescent="0.3">
      <c r="C10" s="982" t="s">
        <v>209</v>
      </c>
      <c r="D10" s="983"/>
      <c r="E10" s="983"/>
      <c r="F10" s="983"/>
      <c r="G10" s="983"/>
      <c r="H10" s="983"/>
      <c r="I10" s="983"/>
      <c r="J10" s="983"/>
      <c r="K10" s="984"/>
    </row>
    <row r="11" spans="3:11" ht="15" x14ac:dyDescent="0.25">
      <c r="C11" s="985" t="s">
        <v>516</v>
      </c>
      <c r="D11" s="986"/>
      <c r="E11" s="986"/>
      <c r="F11" s="986"/>
      <c r="G11" s="986"/>
      <c r="H11" s="986"/>
      <c r="I11" s="986"/>
      <c r="J11" s="986"/>
      <c r="K11" s="987"/>
    </row>
    <row r="12" spans="3:11" ht="18.75" thickBot="1" x14ac:dyDescent="0.3">
      <c r="C12" s="142" t="s">
        <v>225</v>
      </c>
      <c r="D12" s="15"/>
      <c r="E12" s="15"/>
      <c r="F12" s="15"/>
      <c r="G12" s="15"/>
      <c r="H12" s="15"/>
      <c r="I12" s="15"/>
      <c r="J12" s="15"/>
      <c r="K12" s="14"/>
    </row>
    <row r="13" spans="3:11" x14ac:dyDescent="0.2">
      <c r="C13" s="138" t="s">
        <v>208</v>
      </c>
      <c r="D13" s="137" t="s">
        <v>204</v>
      </c>
      <c r="E13" s="15"/>
      <c r="F13" s="15"/>
      <c r="G13" s="15"/>
      <c r="H13" s="15"/>
      <c r="I13" s="15"/>
      <c r="J13" s="15"/>
      <c r="K13" s="14"/>
    </row>
    <row r="14" spans="3:11" ht="13.5" thickBot="1" x14ac:dyDescent="0.25">
      <c r="C14" s="124"/>
      <c r="D14" s="136" t="s">
        <v>203</v>
      </c>
      <c r="E14" s="15"/>
      <c r="F14" s="15"/>
      <c r="G14" s="988" t="s">
        <v>517</v>
      </c>
      <c r="H14" s="988"/>
      <c r="I14" s="988"/>
      <c r="J14" s="15"/>
      <c r="K14" s="14"/>
    </row>
    <row r="15" spans="3:11" x14ac:dyDescent="0.2">
      <c r="C15" s="16"/>
      <c r="D15" s="15"/>
      <c r="E15" s="15"/>
      <c r="F15" s="15"/>
      <c r="G15" s="988" t="s">
        <v>518</v>
      </c>
      <c r="H15" s="988"/>
      <c r="I15" s="988"/>
      <c r="J15" s="15"/>
      <c r="K15" s="14"/>
    </row>
    <row r="16" spans="3:11" x14ac:dyDescent="0.2">
      <c r="C16" s="16" t="s">
        <v>625</v>
      </c>
      <c r="D16" s="15"/>
      <c r="E16" s="15"/>
      <c r="F16" s="15"/>
      <c r="G16" s="988" t="s">
        <v>519</v>
      </c>
      <c r="H16" s="988"/>
      <c r="I16" s="988"/>
      <c r="J16" s="15"/>
      <c r="K16" s="14"/>
    </row>
    <row r="17" spans="3:13" x14ac:dyDescent="0.2">
      <c r="C17" s="16" t="s">
        <v>207</v>
      </c>
      <c r="D17" s="15"/>
      <c r="E17" s="15"/>
      <c r="F17" s="15"/>
      <c r="G17" s="15"/>
      <c r="H17" s="15"/>
      <c r="I17" s="15"/>
      <c r="J17" s="15"/>
      <c r="K17" s="14"/>
    </row>
    <row r="18" spans="3:13" x14ac:dyDescent="0.2">
      <c r="C18" s="16" t="s">
        <v>206</v>
      </c>
      <c r="D18" s="15"/>
      <c r="E18" s="15"/>
      <c r="F18" s="15"/>
      <c r="G18" s="15"/>
      <c r="H18" s="15"/>
      <c r="I18" s="15"/>
      <c r="J18" s="15"/>
      <c r="K18" s="14"/>
    </row>
    <row r="19" spans="3:13" ht="13.5" thickBot="1" x14ac:dyDescent="0.25">
      <c r="C19" s="16"/>
      <c r="D19" s="15"/>
      <c r="E19" s="15"/>
      <c r="F19" s="15"/>
      <c r="G19" s="48" t="s">
        <v>205</v>
      </c>
      <c r="H19" s="15"/>
      <c r="I19" s="15"/>
      <c r="J19" s="15"/>
      <c r="K19" s="14"/>
    </row>
    <row r="20" spans="3:13" ht="13.5" thickTop="1" x14ac:dyDescent="0.2">
      <c r="C20" s="117" t="s">
        <v>204</v>
      </c>
      <c r="D20" s="116" t="s">
        <v>203</v>
      </c>
      <c r="E20" s="116" t="s">
        <v>176</v>
      </c>
      <c r="F20" s="15"/>
      <c r="G20" s="135" t="s">
        <v>94</v>
      </c>
      <c r="H20" s="134"/>
      <c r="I20" s="134" t="s">
        <v>202</v>
      </c>
      <c r="J20" s="652" t="s">
        <v>201</v>
      </c>
      <c r="K20" s="653"/>
    </row>
    <row r="21" spans="3:13" x14ac:dyDescent="0.2">
      <c r="C21" s="115" t="s">
        <v>138</v>
      </c>
      <c r="D21" s="114" t="s">
        <v>197</v>
      </c>
      <c r="E21" s="114" t="s">
        <v>173</v>
      </c>
      <c r="F21" s="15"/>
      <c r="G21" s="133" t="s">
        <v>200</v>
      </c>
      <c r="H21" s="132"/>
      <c r="I21" s="132" t="s">
        <v>199</v>
      </c>
      <c r="J21" s="654" t="s">
        <v>198</v>
      </c>
      <c r="K21" s="102"/>
    </row>
    <row r="22" spans="3:13" ht="16.5" thickBot="1" x14ac:dyDescent="0.3">
      <c r="C22" s="140">
        <v>400</v>
      </c>
      <c r="D22" s="141">
        <v>35</v>
      </c>
      <c r="E22" s="120">
        <f>C22/D22</f>
        <v>11.428571428571429</v>
      </c>
      <c r="F22" s="15"/>
      <c r="G22" s="131" t="s">
        <v>94</v>
      </c>
      <c r="H22" s="130" t="s">
        <v>94</v>
      </c>
      <c r="I22" s="129" t="s">
        <v>197</v>
      </c>
      <c r="J22" s="655"/>
      <c r="K22" s="656"/>
    </row>
    <row r="23" spans="3:13" ht="13.5" thickTop="1" x14ac:dyDescent="0.2">
      <c r="C23" s="16"/>
      <c r="D23" s="15"/>
      <c r="E23" s="15"/>
      <c r="F23" s="15"/>
      <c r="G23" s="128" t="s">
        <v>196</v>
      </c>
      <c r="H23" s="127"/>
      <c r="I23" s="21" t="s">
        <v>210</v>
      </c>
      <c r="J23" s="128" t="s">
        <v>195</v>
      </c>
      <c r="K23" s="657"/>
    </row>
    <row r="24" spans="3:13" ht="13.5" thickBot="1" x14ac:dyDescent="0.25">
      <c r="C24" s="16"/>
      <c r="D24" s="15"/>
      <c r="E24" s="15"/>
      <c r="F24" s="15"/>
      <c r="G24" s="122" t="s">
        <v>194</v>
      </c>
      <c r="H24" s="60"/>
      <c r="I24" s="380" t="s">
        <v>212</v>
      </c>
      <c r="J24" s="122" t="s">
        <v>193</v>
      </c>
      <c r="K24" s="14"/>
    </row>
    <row r="25" spans="3:13" x14ac:dyDescent="0.2">
      <c r="C25" s="126" t="s">
        <v>192</v>
      </c>
      <c r="D25" s="125" t="s">
        <v>176</v>
      </c>
      <c r="E25" s="15"/>
      <c r="F25" s="15"/>
      <c r="G25" s="122" t="s">
        <v>191</v>
      </c>
      <c r="H25" s="60"/>
      <c r="I25" s="380" t="s">
        <v>213</v>
      </c>
      <c r="J25" s="122" t="s">
        <v>190</v>
      </c>
      <c r="K25" s="14"/>
    </row>
    <row r="26" spans="3:13" ht="13.5" thickBot="1" x14ac:dyDescent="0.25">
      <c r="C26" s="124"/>
      <c r="D26" s="123" t="s">
        <v>189</v>
      </c>
      <c r="E26" s="15"/>
      <c r="F26" s="15"/>
      <c r="G26" s="122" t="s">
        <v>188</v>
      </c>
      <c r="H26" s="60"/>
      <c r="I26" s="380" t="s">
        <v>214</v>
      </c>
      <c r="J26" s="122" t="s">
        <v>187</v>
      </c>
      <c r="K26" s="14"/>
    </row>
    <row r="27" spans="3:13" x14ac:dyDescent="0.2">
      <c r="C27" s="16"/>
      <c r="D27" s="15"/>
      <c r="E27" s="15"/>
      <c r="F27" s="15"/>
      <c r="G27" s="121" t="s">
        <v>186</v>
      </c>
      <c r="H27" s="55"/>
      <c r="I27" s="535" t="s">
        <v>215</v>
      </c>
      <c r="J27" s="121" t="s">
        <v>185</v>
      </c>
      <c r="K27" s="656"/>
    </row>
    <row r="28" spans="3:13" x14ac:dyDescent="0.2">
      <c r="C28" s="16" t="s">
        <v>184</v>
      </c>
      <c r="D28" s="15"/>
      <c r="E28" s="15"/>
      <c r="F28" s="15"/>
      <c r="G28" s="15"/>
      <c r="H28" s="15"/>
      <c r="I28" s="15"/>
      <c r="J28" s="15"/>
      <c r="K28" s="14"/>
    </row>
    <row r="29" spans="3:13" x14ac:dyDescent="0.2">
      <c r="C29" s="16" t="s">
        <v>183</v>
      </c>
      <c r="D29" s="15"/>
      <c r="E29" s="15"/>
      <c r="F29" s="15"/>
      <c r="G29" s="15"/>
      <c r="H29" s="15"/>
      <c r="I29" s="15"/>
      <c r="J29" s="15"/>
      <c r="K29" s="14"/>
    </row>
    <row r="30" spans="3:13" x14ac:dyDescent="0.2">
      <c r="C30" s="16" t="s">
        <v>182</v>
      </c>
      <c r="D30" s="15"/>
      <c r="E30" s="15"/>
      <c r="F30" s="15"/>
      <c r="G30" s="15"/>
      <c r="H30" s="15"/>
      <c r="I30" s="15"/>
      <c r="J30" s="15"/>
      <c r="K30" s="14"/>
      <c r="M30" s="212"/>
    </row>
    <row r="31" spans="3:13" x14ac:dyDescent="0.2">
      <c r="C31" s="16"/>
      <c r="D31" s="15"/>
      <c r="E31" s="15"/>
      <c r="F31" s="15"/>
      <c r="G31" s="15"/>
      <c r="H31" s="15"/>
      <c r="I31" s="15"/>
      <c r="J31" s="15"/>
      <c r="K31" s="14"/>
    </row>
    <row r="32" spans="3:13" ht="13.5" thickBot="1" x14ac:dyDescent="0.25">
      <c r="C32" s="968" t="s">
        <v>181</v>
      </c>
      <c r="D32" s="969"/>
      <c r="E32" s="969"/>
      <c r="F32" s="969"/>
      <c r="G32" s="15"/>
      <c r="H32" s="15"/>
      <c r="I32" s="15"/>
      <c r="J32" s="15"/>
      <c r="K32" s="14"/>
    </row>
    <row r="33" spans="3:13" ht="13.5" thickTop="1" x14ac:dyDescent="0.2">
      <c r="C33" s="117" t="s">
        <v>176</v>
      </c>
      <c r="D33" s="116" t="s">
        <v>180</v>
      </c>
      <c r="E33" s="116" t="s">
        <v>626</v>
      </c>
      <c r="F33" s="116" t="s">
        <v>48</v>
      </c>
      <c r="G33" s="15"/>
      <c r="H33" s="15"/>
      <c r="I33" s="15"/>
      <c r="J33" s="15"/>
      <c r="K33" s="14"/>
    </row>
    <row r="34" spans="3:13" x14ac:dyDescent="0.2">
      <c r="C34" s="115" t="s">
        <v>173</v>
      </c>
      <c r="D34" s="114" t="s">
        <v>88</v>
      </c>
      <c r="E34" s="114" t="s">
        <v>172</v>
      </c>
      <c r="F34" s="114" t="s">
        <v>88</v>
      </c>
      <c r="G34" s="15"/>
      <c r="H34" s="15"/>
      <c r="I34" s="15"/>
      <c r="J34" s="15"/>
      <c r="K34" s="14"/>
    </row>
    <row r="35" spans="3:13" ht="16.5" thickBot="1" x14ac:dyDescent="0.3">
      <c r="C35" s="113">
        <f>E22</f>
        <v>11.428571428571429</v>
      </c>
      <c r="D35" s="112">
        <v>1.2</v>
      </c>
      <c r="E35" s="111">
        <v>1</v>
      </c>
      <c r="F35" s="120">
        <f>C35/(3.14*D35*E35)</f>
        <v>3.0330603579011224</v>
      </c>
      <c r="G35" s="15"/>
      <c r="H35" s="15"/>
      <c r="I35" s="15"/>
      <c r="J35" s="15"/>
      <c r="K35" s="14"/>
    </row>
    <row r="36" spans="3:13" ht="13.5" thickTop="1" x14ac:dyDescent="0.2">
      <c r="C36" s="119"/>
      <c r="D36" s="118"/>
      <c r="E36" s="118"/>
      <c r="F36" s="118"/>
      <c r="G36" s="15"/>
      <c r="H36" s="104" t="s">
        <v>631</v>
      </c>
      <c r="I36" s="15"/>
      <c r="J36" s="15"/>
      <c r="K36" s="14"/>
    </row>
    <row r="37" spans="3:13" ht="13.5" thickBot="1" x14ac:dyDescent="0.25">
      <c r="C37" s="119" t="s">
        <v>179</v>
      </c>
      <c r="D37" s="118"/>
      <c r="E37" s="118"/>
      <c r="F37" s="118"/>
      <c r="G37" s="15"/>
      <c r="H37" s="960" t="s">
        <v>627</v>
      </c>
      <c r="I37" s="961"/>
      <c r="J37" s="962"/>
      <c r="K37" s="14"/>
    </row>
    <row r="38" spans="3:13" ht="13.5" thickTop="1" x14ac:dyDescent="0.2">
      <c r="C38" s="117" t="s">
        <v>176</v>
      </c>
      <c r="D38" s="116" t="s">
        <v>175</v>
      </c>
      <c r="E38" s="116" t="s">
        <v>141</v>
      </c>
      <c r="F38" s="116" t="s">
        <v>178</v>
      </c>
      <c r="G38" s="15"/>
      <c r="H38" s="963"/>
      <c r="I38" s="959"/>
      <c r="J38" s="964"/>
      <c r="K38" s="14"/>
    </row>
    <row r="39" spans="3:13" x14ac:dyDescent="0.2">
      <c r="C39" s="115" t="s">
        <v>173</v>
      </c>
      <c r="D39" s="114" t="s">
        <v>88</v>
      </c>
      <c r="E39" s="114" t="s">
        <v>172</v>
      </c>
      <c r="F39" s="114" t="s">
        <v>88</v>
      </c>
      <c r="G39" s="15"/>
      <c r="H39" s="963"/>
      <c r="I39" s="959"/>
      <c r="J39" s="964"/>
      <c r="K39" s="14"/>
    </row>
    <row r="40" spans="3:13" ht="16.5" thickBot="1" x14ac:dyDescent="0.3">
      <c r="C40" s="113">
        <f>E22</f>
        <v>11.428571428571429</v>
      </c>
      <c r="D40" s="112" t="s">
        <v>628</v>
      </c>
      <c r="E40" s="111">
        <v>1</v>
      </c>
      <c r="F40" s="110">
        <f>C40^0.5</f>
        <v>3.3806170189140663</v>
      </c>
      <c r="G40" s="15"/>
      <c r="H40" s="963"/>
      <c r="I40" s="959"/>
      <c r="J40" s="964"/>
      <c r="K40" s="14"/>
    </row>
    <row r="41" spans="3:13" ht="23.25" customHeight="1" thickTop="1" thickBot="1" x14ac:dyDescent="0.25">
      <c r="C41" s="16"/>
      <c r="D41" s="15" t="s">
        <v>177</v>
      </c>
      <c r="E41" s="15"/>
      <c r="F41" s="15"/>
      <c r="G41" s="15"/>
      <c r="H41" s="963"/>
      <c r="I41" s="959"/>
      <c r="J41" s="964"/>
      <c r="K41" s="14"/>
    </row>
    <row r="42" spans="3:13" ht="13.5" thickTop="1" x14ac:dyDescent="0.2">
      <c r="C42" s="117" t="s">
        <v>176</v>
      </c>
      <c r="D42" s="116" t="s">
        <v>175</v>
      </c>
      <c r="E42" s="116" t="s">
        <v>141</v>
      </c>
      <c r="F42" s="116" t="s">
        <v>174</v>
      </c>
      <c r="G42" s="15"/>
      <c r="H42" s="963" t="s">
        <v>629</v>
      </c>
      <c r="I42" s="959"/>
      <c r="J42" s="964"/>
      <c r="K42" s="14"/>
      <c r="M42" s="262" t="s">
        <v>325</v>
      </c>
    </row>
    <row r="43" spans="3:13" x14ac:dyDescent="0.2">
      <c r="C43" s="115" t="s">
        <v>173</v>
      </c>
      <c r="D43" s="114" t="s">
        <v>88</v>
      </c>
      <c r="E43" s="114" t="s">
        <v>172</v>
      </c>
      <c r="F43" s="114" t="s">
        <v>88</v>
      </c>
      <c r="G43" s="15"/>
      <c r="H43" s="963"/>
      <c r="I43" s="959"/>
      <c r="J43" s="964"/>
      <c r="K43" s="14"/>
    </row>
    <row r="44" spans="3:13" ht="16.5" thickBot="1" x14ac:dyDescent="0.3">
      <c r="C44" s="113">
        <f>E22</f>
        <v>11.428571428571429</v>
      </c>
      <c r="D44" s="112">
        <v>1.2</v>
      </c>
      <c r="E44" s="111">
        <v>1</v>
      </c>
      <c r="F44" s="110">
        <f>C44/D44</f>
        <v>9.5238095238095237</v>
      </c>
      <c r="G44" s="15"/>
      <c r="H44" s="963" t="s">
        <v>630</v>
      </c>
      <c r="I44" s="959"/>
      <c r="J44" s="964"/>
      <c r="K44" s="14"/>
    </row>
    <row r="45" spans="3:13" ht="13.5" thickTop="1" x14ac:dyDescent="0.2">
      <c r="C45" s="16"/>
      <c r="D45" s="15"/>
      <c r="E45" s="15"/>
      <c r="F45" s="15"/>
      <c r="G45" s="15"/>
      <c r="H45" s="963"/>
      <c r="I45" s="959"/>
      <c r="J45" s="964"/>
      <c r="K45" s="14"/>
    </row>
    <row r="46" spans="3:13" x14ac:dyDescent="0.2">
      <c r="C46" s="16"/>
      <c r="D46" s="15"/>
      <c r="E46" s="15"/>
      <c r="F46" s="15"/>
      <c r="G46" s="15"/>
      <c r="H46" s="963"/>
      <c r="I46" s="959"/>
      <c r="J46" s="964"/>
      <c r="K46" s="14"/>
    </row>
    <row r="47" spans="3:13" x14ac:dyDescent="0.2">
      <c r="C47" s="66" t="s">
        <v>171</v>
      </c>
      <c r="D47" s="15"/>
      <c r="E47" s="15"/>
      <c r="F47" s="15"/>
      <c r="G47" s="15"/>
      <c r="H47" s="965"/>
      <c r="I47" s="966"/>
      <c r="J47" s="967"/>
      <c r="K47" s="14"/>
    </row>
    <row r="48" spans="3:13" ht="13.5" thickBot="1" x14ac:dyDescent="0.25">
      <c r="C48" s="13"/>
      <c r="D48" s="12"/>
      <c r="E48" s="12"/>
      <c r="F48" s="12"/>
      <c r="G48" s="12"/>
      <c r="H48" s="12"/>
      <c r="I48" s="12"/>
      <c r="J48" s="12"/>
      <c r="K48" s="11"/>
    </row>
    <row r="49" spans="3:11" x14ac:dyDescent="0.2">
      <c r="C49" s="15"/>
      <c r="D49" s="15"/>
      <c r="E49" s="15"/>
      <c r="F49" s="15"/>
      <c r="G49" s="15"/>
      <c r="H49" s="15"/>
      <c r="I49" s="15"/>
      <c r="J49" s="15"/>
      <c r="K49" s="15"/>
    </row>
    <row r="50" spans="3:11" ht="18" x14ac:dyDescent="0.25">
      <c r="C50" s="139"/>
      <c r="D50" s="15"/>
      <c r="E50" s="15"/>
      <c r="F50" s="15"/>
      <c r="G50" s="15"/>
      <c r="H50" s="15"/>
      <c r="I50" s="15"/>
      <c r="J50" s="15"/>
      <c r="K50" s="15"/>
    </row>
    <row r="51" spans="3:11" x14ac:dyDescent="0.2">
      <c r="C51" s="104"/>
      <c r="D51" s="118"/>
      <c r="E51" s="15"/>
      <c r="F51" s="15"/>
      <c r="G51" s="15"/>
      <c r="H51" s="15"/>
      <c r="I51" s="15"/>
      <c r="J51" s="15"/>
    </row>
    <row r="52" spans="3:11" x14ac:dyDescent="0.2">
      <c r="C52" s="104"/>
      <c r="D52" s="118"/>
      <c r="E52" s="15"/>
      <c r="F52" s="15"/>
      <c r="G52" s="15"/>
      <c r="H52" s="15"/>
      <c r="I52" s="15"/>
      <c r="J52" s="15"/>
    </row>
    <row r="53" spans="3:11" x14ac:dyDescent="0.2">
      <c r="C53" s="15"/>
      <c r="D53" s="15"/>
      <c r="E53" s="15"/>
      <c r="F53" s="15"/>
      <c r="G53" s="15"/>
      <c r="H53" s="15"/>
      <c r="I53" s="15"/>
      <c r="J53" s="15"/>
    </row>
    <row r="54" spans="3:11" x14ac:dyDescent="0.2">
      <c r="C54" s="15"/>
      <c r="D54" s="15"/>
      <c r="E54" s="15"/>
      <c r="F54" s="15"/>
      <c r="G54" s="15"/>
      <c r="H54" s="15"/>
      <c r="I54" s="15"/>
      <c r="J54" s="15"/>
    </row>
    <row r="55" spans="3:11" x14ac:dyDescent="0.2">
      <c r="C55" s="15"/>
      <c r="D55" s="15"/>
      <c r="E55" s="15"/>
      <c r="F55" s="15"/>
      <c r="G55" s="15"/>
      <c r="H55" s="15"/>
      <c r="I55" s="15"/>
      <c r="J55" s="15"/>
    </row>
    <row r="56" spans="3:11" x14ac:dyDescent="0.2">
      <c r="C56" s="15"/>
      <c r="D56" s="15"/>
      <c r="E56" s="15"/>
      <c r="F56" s="15"/>
      <c r="G56" s="15"/>
      <c r="H56" s="15"/>
      <c r="I56" s="15"/>
      <c r="J56" s="15"/>
    </row>
    <row r="57" spans="3:11" x14ac:dyDescent="0.2">
      <c r="C57" s="15"/>
      <c r="D57" s="15"/>
      <c r="E57" s="15"/>
      <c r="F57" s="15"/>
      <c r="G57" s="48"/>
      <c r="H57" s="15"/>
      <c r="I57" s="15"/>
      <c r="J57" s="15"/>
    </row>
    <row r="58" spans="3:11" x14ac:dyDescent="0.2">
      <c r="C58" s="118"/>
      <c r="D58" s="118"/>
      <c r="E58" s="118"/>
      <c r="F58" s="15"/>
      <c r="G58" s="118"/>
      <c r="H58" s="118"/>
      <c r="I58" s="118"/>
      <c r="J58" s="118"/>
    </row>
    <row r="59" spans="3:11" x14ac:dyDescent="0.2">
      <c r="C59" s="118"/>
      <c r="D59" s="118"/>
      <c r="E59" s="118"/>
      <c r="F59" s="15"/>
      <c r="G59" s="118"/>
      <c r="H59" s="118"/>
      <c r="I59" s="118"/>
      <c r="J59" s="118"/>
    </row>
    <row r="60" spans="3:11" ht="15.75" x14ac:dyDescent="0.25">
      <c r="C60" s="143"/>
      <c r="D60" s="144"/>
      <c r="E60" s="145"/>
      <c r="F60" s="15"/>
      <c r="G60" s="146"/>
      <c r="H60" s="146"/>
      <c r="I60" s="118"/>
      <c r="J60" s="104"/>
    </row>
    <row r="61" spans="3:11" x14ac:dyDescent="0.2">
      <c r="C61" s="15"/>
      <c r="D61" s="15"/>
      <c r="E61" s="15"/>
      <c r="F61" s="15"/>
      <c r="G61" s="15"/>
      <c r="H61" s="15"/>
      <c r="I61" s="36"/>
      <c r="J61" s="15"/>
    </row>
    <row r="62" spans="3:11" x14ac:dyDescent="0.2">
      <c r="C62" s="15"/>
      <c r="D62" s="15"/>
      <c r="E62" s="15"/>
      <c r="F62" s="15"/>
      <c r="G62" s="15"/>
      <c r="H62" s="15"/>
      <c r="I62" s="36"/>
      <c r="J62" s="15"/>
    </row>
    <row r="63" spans="3:11" x14ac:dyDescent="0.2">
      <c r="C63" s="147"/>
      <c r="D63" s="615"/>
      <c r="E63" s="15"/>
      <c r="F63" s="15"/>
      <c r="G63" s="15"/>
      <c r="H63" s="15"/>
      <c r="I63" s="36"/>
      <c r="J63" s="15"/>
    </row>
    <row r="64" spans="3:11" x14ac:dyDescent="0.2">
      <c r="C64" s="104"/>
      <c r="D64" s="615"/>
      <c r="E64" s="15"/>
      <c r="F64" s="15"/>
      <c r="G64" s="15"/>
      <c r="H64" s="15"/>
      <c r="I64" s="36"/>
      <c r="J64" s="15"/>
    </row>
    <row r="65" spans="3:10" x14ac:dyDescent="0.2">
      <c r="C65" s="15"/>
      <c r="D65" s="15"/>
      <c r="E65" s="15"/>
      <c r="F65" s="15"/>
      <c r="G65" s="15"/>
      <c r="H65" s="15"/>
      <c r="I65" s="36"/>
      <c r="J65" s="15"/>
    </row>
    <row r="66" spans="3:10" x14ac:dyDescent="0.2">
      <c r="C66" s="15"/>
      <c r="D66" s="15"/>
      <c r="E66" s="15"/>
      <c r="F66" s="15"/>
      <c r="G66" s="15"/>
      <c r="H66" s="15"/>
      <c r="I66" s="15"/>
      <c r="J66" s="15"/>
    </row>
    <row r="67" spans="3:10" x14ac:dyDescent="0.2">
      <c r="C67" s="15"/>
      <c r="D67" s="15"/>
      <c r="E67" s="15"/>
      <c r="F67" s="15"/>
      <c r="G67" s="15"/>
      <c r="H67" s="15"/>
      <c r="I67" s="15"/>
      <c r="J67" s="15"/>
    </row>
    <row r="68" spans="3:10" x14ac:dyDescent="0.2">
      <c r="C68" s="15"/>
      <c r="D68" s="15"/>
      <c r="E68" s="15"/>
      <c r="F68" s="15"/>
      <c r="G68" s="15"/>
      <c r="H68" s="15"/>
      <c r="I68" s="15"/>
      <c r="J68" s="15"/>
    </row>
    <row r="69" spans="3:10" x14ac:dyDescent="0.2">
      <c r="C69" s="15"/>
      <c r="D69" s="15"/>
      <c r="E69" s="15"/>
      <c r="F69" s="15"/>
      <c r="G69" s="15"/>
      <c r="H69" s="15"/>
      <c r="I69" s="15"/>
      <c r="J69" s="15"/>
    </row>
    <row r="70" spans="3:10" x14ac:dyDescent="0.2">
      <c r="C70" s="958"/>
      <c r="D70" s="958"/>
      <c r="E70" s="958"/>
      <c r="F70" s="958"/>
      <c r="G70" s="15"/>
      <c r="H70" s="15"/>
      <c r="I70" s="15"/>
      <c r="J70" s="15"/>
    </row>
    <row r="71" spans="3:10" x14ac:dyDescent="0.2">
      <c r="C71" s="118"/>
      <c r="D71" s="118"/>
      <c r="E71" s="118"/>
      <c r="F71" s="118"/>
      <c r="G71" s="15"/>
      <c r="H71" s="15"/>
      <c r="I71" s="15"/>
      <c r="J71" s="15"/>
    </row>
    <row r="72" spans="3:10" x14ac:dyDescent="0.2">
      <c r="C72" s="118"/>
      <c r="D72" s="118"/>
      <c r="E72" s="118"/>
      <c r="F72" s="118"/>
      <c r="G72" s="15"/>
      <c r="H72" s="15"/>
      <c r="I72" s="15"/>
      <c r="J72" s="15"/>
    </row>
    <row r="73" spans="3:10" ht="15.75" x14ac:dyDescent="0.25">
      <c r="C73" s="145"/>
      <c r="D73" s="148"/>
      <c r="E73" s="149"/>
      <c r="F73" s="145"/>
      <c r="G73" s="15"/>
      <c r="H73" s="15"/>
      <c r="I73" s="15"/>
      <c r="J73" s="15"/>
    </row>
    <row r="74" spans="3:10" x14ac:dyDescent="0.2">
      <c r="C74" s="118"/>
      <c r="D74" s="118"/>
      <c r="E74" s="118"/>
      <c r="F74" s="118"/>
      <c r="G74" s="15"/>
      <c r="H74" s="15"/>
      <c r="I74" s="15"/>
      <c r="J74" s="15"/>
    </row>
    <row r="75" spans="3:10" x14ac:dyDescent="0.2">
      <c r="C75" s="118"/>
      <c r="D75" s="118"/>
      <c r="E75" s="118"/>
      <c r="F75" s="118"/>
      <c r="G75" s="15"/>
      <c r="H75" s="959"/>
      <c r="I75" s="959"/>
      <c r="J75" s="959"/>
    </row>
    <row r="76" spans="3:10" x14ac:dyDescent="0.2">
      <c r="C76" s="118"/>
      <c r="D76" s="118"/>
      <c r="E76" s="118"/>
      <c r="F76" s="118"/>
      <c r="G76" s="15"/>
      <c r="H76" s="959"/>
      <c r="I76" s="959"/>
      <c r="J76" s="959"/>
    </row>
    <row r="77" spans="3:10" x14ac:dyDescent="0.2">
      <c r="C77" s="118"/>
      <c r="D77" s="118"/>
      <c r="E77" s="118"/>
      <c r="F77" s="118"/>
      <c r="G77" s="15"/>
      <c r="H77" s="959"/>
      <c r="I77" s="959"/>
      <c r="J77" s="959"/>
    </row>
    <row r="78" spans="3:10" ht="15.75" x14ac:dyDescent="0.25">
      <c r="C78" s="145"/>
      <c r="D78" s="148"/>
      <c r="E78" s="149"/>
      <c r="F78" s="150"/>
      <c r="G78" s="15"/>
      <c r="H78" s="959"/>
      <c r="I78" s="959"/>
      <c r="J78" s="959"/>
    </row>
    <row r="79" spans="3:10" ht="23.25" customHeight="1" x14ac:dyDescent="0.2">
      <c r="C79" s="15"/>
      <c r="D79" s="15"/>
      <c r="E79" s="15"/>
      <c r="F79" s="15"/>
      <c r="G79" s="15"/>
      <c r="H79" s="959"/>
      <c r="I79" s="959"/>
      <c r="J79" s="959"/>
    </row>
    <row r="80" spans="3:10" x14ac:dyDescent="0.2">
      <c r="C80" s="118"/>
      <c r="D80" s="118"/>
      <c r="E80" s="118"/>
      <c r="F80" s="118"/>
      <c r="G80" s="15"/>
      <c r="H80" s="959"/>
      <c r="I80" s="959"/>
      <c r="J80" s="959"/>
    </row>
    <row r="81" spans="3:10" x14ac:dyDescent="0.2">
      <c r="C81" s="118"/>
      <c r="D81" s="118"/>
      <c r="E81" s="118"/>
      <c r="F81" s="118"/>
      <c r="G81" s="15"/>
      <c r="H81" s="959"/>
      <c r="I81" s="959"/>
      <c r="J81" s="959"/>
    </row>
    <row r="82" spans="3:10" ht="15.75" x14ac:dyDescent="0.25">
      <c r="C82" s="145"/>
      <c r="D82" s="148"/>
      <c r="E82" s="149"/>
      <c r="F82" s="150"/>
      <c r="G82" s="15"/>
      <c r="H82" s="959"/>
      <c r="I82" s="959"/>
      <c r="J82" s="959"/>
    </row>
    <row r="83" spans="3:10" x14ac:dyDescent="0.2">
      <c r="C83" s="15"/>
      <c r="D83" s="15"/>
      <c r="E83" s="15"/>
      <c r="F83" s="15"/>
      <c r="G83" s="15"/>
      <c r="H83" s="959"/>
      <c r="I83" s="959"/>
      <c r="J83" s="959"/>
    </row>
    <row r="84" spans="3:10" x14ac:dyDescent="0.2">
      <c r="C84" s="15"/>
      <c r="D84" s="15"/>
      <c r="E84" s="15"/>
      <c r="F84" s="15"/>
      <c r="G84" s="15"/>
      <c r="H84" s="959"/>
      <c r="I84" s="959"/>
      <c r="J84" s="959"/>
    </row>
    <row r="85" spans="3:10" x14ac:dyDescent="0.2">
      <c r="C85" s="104"/>
      <c r="D85" s="15"/>
      <c r="E85" s="15"/>
      <c r="F85" s="15"/>
      <c r="G85" s="15"/>
      <c r="H85" s="959"/>
      <c r="I85" s="959"/>
      <c r="J85" s="959"/>
    </row>
    <row r="86" spans="3:10" x14ac:dyDescent="0.2">
      <c r="C86" s="15"/>
      <c r="D86" s="15"/>
      <c r="E86" s="15"/>
      <c r="F86" s="15"/>
      <c r="G86" s="15"/>
      <c r="H86" s="15"/>
      <c r="I86" s="15"/>
      <c r="J86" s="15"/>
    </row>
  </sheetData>
  <mergeCells count="18">
    <mergeCell ref="C32:F32"/>
    <mergeCell ref="C4:K4"/>
    <mergeCell ref="C5:K5"/>
    <mergeCell ref="C6:K6"/>
    <mergeCell ref="C7:K7"/>
    <mergeCell ref="C8:K8"/>
    <mergeCell ref="C10:K10"/>
    <mergeCell ref="C11:K11"/>
    <mergeCell ref="G14:I14"/>
    <mergeCell ref="G15:I15"/>
    <mergeCell ref="G16:I16"/>
    <mergeCell ref="C70:F70"/>
    <mergeCell ref="H75:J79"/>
    <mergeCell ref="H80:J81"/>
    <mergeCell ref="H82:J85"/>
    <mergeCell ref="H37:J41"/>
    <mergeCell ref="H42:J43"/>
    <mergeCell ref="H44:J47"/>
  </mergeCells>
  <pageMargins left="0.78740157480314965" right="0.78740157480314965" top="0.98425196850393704" bottom="0.98425196850393704" header="0.51181102362204722" footer="0.51181102362204722"/>
  <pageSetup paperSize="9" scale="7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pageSetUpPr fitToPage="1"/>
  </sheetPr>
  <dimension ref="A1:H20"/>
  <sheetViews>
    <sheetView workbookViewId="0">
      <selection activeCell="M8" sqref="M8"/>
    </sheetView>
  </sheetViews>
  <sheetFormatPr defaultRowHeight="12.75" x14ac:dyDescent="0.2"/>
  <cols>
    <col min="1" max="2" width="6.7109375" style="5" customWidth="1"/>
    <col min="3" max="3" width="59.42578125" style="5" customWidth="1"/>
    <col min="4" max="4" width="8.7109375" style="5" customWidth="1"/>
    <col min="5" max="5" width="8.7109375" style="220" customWidth="1"/>
    <col min="6" max="7" width="8.7109375" style="216" customWidth="1"/>
    <col min="8" max="8" width="12.7109375" style="5" customWidth="1"/>
    <col min="9" max="16384" width="9.140625" style="5"/>
  </cols>
  <sheetData>
    <row r="1" spans="1:8" ht="51.75" customHeight="1" thickBot="1" x14ac:dyDescent="0.25">
      <c r="A1" s="890"/>
      <c r="B1" s="891"/>
      <c r="C1" s="891"/>
      <c r="D1" s="891"/>
      <c r="E1" s="891"/>
      <c r="F1" s="891"/>
      <c r="G1" s="891"/>
      <c r="H1" s="892"/>
    </row>
    <row r="2" spans="1:8" ht="17.100000000000001" customHeight="1" x14ac:dyDescent="0.2">
      <c r="A2" s="893" t="s">
        <v>870</v>
      </c>
      <c r="B2" s="894"/>
      <c r="C2" s="894"/>
      <c r="D2" s="894"/>
      <c r="E2" s="894"/>
      <c r="F2" s="894"/>
      <c r="G2" s="894"/>
      <c r="H2" s="895"/>
    </row>
    <row r="3" spans="1:8" ht="17.100000000000001" customHeight="1" x14ac:dyDescent="0.2">
      <c r="A3" s="896" t="s">
        <v>277</v>
      </c>
      <c r="B3" s="815"/>
      <c r="C3" s="815" t="e">
        <f>#REF!</f>
        <v>#REF!</v>
      </c>
      <c r="D3" s="815"/>
      <c r="E3" s="827" t="s">
        <v>339</v>
      </c>
      <c r="F3" s="827"/>
      <c r="G3" s="989" t="e">
        <f>#REF!</f>
        <v>#REF!</v>
      </c>
      <c r="H3" s="990"/>
    </row>
    <row r="4" spans="1:8" ht="17.100000000000001" customHeight="1" thickBot="1" x14ac:dyDescent="0.25">
      <c r="A4" s="896" t="s">
        <v>333</v>
      </c>
      <c r="B4" s="815"/>
      <c r="C4" s="815" t="e">
        <f>#REF!</f>
        <v>#REF!</v>
      </c>
      <c r="D4" s="815"/>
      <c r="E4" s="827" t="s">
        <v>338</v>
      </c>
      <c r="F4" s="827"/>
      <c r="G4" s="817" t="e">
        <f>#REF!</f>
        <v>#REF!</v>
      </c>
      <c r="H4" s="818"/>
    </row>
    <row r="5" spans="1:8" ht="17.100000000000001" customHeight="1" thickBot="1" x14ac:dyDescent="0.25">
      <c r="A5" s="877"/>
      <c r="B5" s="878"/>
      <c r="C5" s="878"/>
      <c r="D5" s="878"/>
      <c r="E5" s="878"/>
      <c r="F5" s="878"/>
      <c r="G5" s="878"/>
      <c r="H5" s="879"/>
    </row>
    <row r="6" spans="1:8" ht="17.100000000000001" customHeight="1" thickBot="1" x14ac:dyDescent="0.25">
      <c r="A6" s="884" t="s">
        <v>330</v>
      </c>
      <c r="B6" s="885"/>
      <c r="C6" s="885"/>
      <c r="D6" s="886"/>
      <c r="E6" s="886"/>
      <c r="F6" s="886"/>
      <c r="G6" s="886"/>
      <c r="H6" s="308"/>
    </row>
    <row r="7" spans="1:8" ht="30" customHeight="1" thickBot="1" x14ac:dyDescent="0.25">
      <c r="A7" s="223" t="s">
        <v>0</v>
      </c>
      <c r="B7" s="880" t="s">
        <v>1</v>
      </c>
      <c r="C7" s="881"/>
      <c r="D7" s="757" t="s">
        <v>2</v>
      </c>
      <c r="E7" s="310" t="s">
        <v>3</v>
      </c>
      <c r="F7" s="311" t="s">
        <v>4</v>
      </c>
      <c r="G7" s="310" t="s">
        <v>5</v>
      </c>
      <c r="H7" s="312" t="s">
        <v>275</v>
      </c>
    </row>
    <row r="8" spans="1:8" ht="17.100000000000001" customHeight="1" x14ac:dyDescent="0.2">
      <c r="A8" s="264">
        <v>1</v>
      </c>
      <c r="B8" s="991" t="s">
        <v>620</v>
      </c>
      <c r="C8" s="991"/>
      <c r="D8" s="315"/>
      <c r="E8" s="688"/>
      <c r="F8" s="623"/>
      <c r="G8" s="623"/>
      <c r="H8" s="689"/>
    </row>
    <row r="9" spans="1:8" ht="17.100000000000001" customHeight="1" x14ac:dyDescent="0.2">
      <c r="A9" s="1" t="s">
        <v>6</v>
      </c>
      <c r="B9" s="807" t="s">
        <v>554</v>
      </c>
      <c r="C9" s="807"/>
      <c r="D9" s="755" t="s">
        <v>10</v>
      </c>
      <c r="E9" s="4">
        <f>'7A.1 Sumid.Argil.Mem. Cal. vali'!D4</f>
        <v>6.0488554895999984</v>
      </c>
      <c r="F9" s="741">
        <v>78.239999999999995</v>
      </c>
      <c r="G9" s="272">
        <f>ROUND(E9*F9,2)</f>
        <v>473.26</v>
      </c>
      <c r="H9" s="636">
        <v>93358</v>
      </c>
    </row>
    <row r="10" spans="1:8" ht="26.25" customHeight="1" x14ac:dyDescent="0.2">
      <c r="A10" s="1" t="s">
        <v>8</v>
      </c>
      <c r="B10" s="800" t="s">
        <v>610</v>
      </c>
      <c r="C10" s="800"/>
      <c r="D10" s="755" t="s">
        <v>7</v>
      </c>
      <c r="E10" s="4">
        <f>'7A.1 Sumid.Argil.Mem. Cal. vali'!D26</f>
        <v>13.458614399999998</v>
      </c>
      <c r="F10" s="741">
        <v>19.260000000000002</v>
      </c>
      <c r="G10" s="272">
        <f>E10*F10</f>
        <v>259.21291334400001</v>
      </c>
      <c r="H10" s="224">
        <v>101572</v>
      </c>
    </row>
    <row r="11" spans="1:8" ht="50.1" customHeight="1" x14ac:dyDescent="0.2">
      <c r="A11" s="1" t="s">
        <v>23</v>
      </c>
      <c r="B11" s="800" t="s">
        <v>878</v>
      </c>
      <c r="C11" s="800"/>
      <c r="D11" s="755" t="s">
        <v>7</v>
      </c>
      <c r="E11" s="4">
        <f>'7A.1 Sumid.Argil.Mem. Cal. vali'!D33</f>
        <v>3.2044320000000002</v>
      </c>
      <c r="F11" s="722">
        <v>135.05000000000001</v>
      </c>
      <c r="G11" s="272">
        <f t="shared" ref="G11" si="0">ROUND(E11*F11,2)</f>
        <v>432.76</v>
      </c>
      <c r="H11" s="761">
        <v>103334</v>
      </c>
    </row>
    <row r="12" spans="1:8" s="157" customFormat="1" ht="39.75" customHeight="1" x14ac:dyDescent="0.2">
      <c r="A12" s="1" t="s">
        <v>24</v>
      </c>
      <c r="B12" s="800" t="s">
        <v>875</v>
      </c>
      <c r="C12" s="800"/>
      <c r="D12" s="756" t="s">
        <v>7</v>
      </c>
      <c r="E12" s="10">
        <f>'7A.1 Sumid.Argil.Mem. Cal. vali'!D41</f>
        <v>4.4975145599999991</v>
      </c>
      <c r="F12" s="722">
        <v>4.24</v>
      </c>
      <c r="G12" s="279">
        <f>ROUND(E12*F12,2)</f>
        <v>19.07</v>
      </c>
      <c r="H12" s="327">
        <v>87878</v>
      </c>
    </row>
    <row r="13" spans="1:8" s="157" customFormat="1" ht="39.75" customHeight="1" x14ac:dyDescent="0.2">
      <c r="A13" s="360" t="s">
        <v>25</v>
      </c>
      <c r="B13" s="800" t="s">
        <v>876</v>
      </c>
      <c r="C13" s="800"/>
      <c r="D13" s="361" t="s">
        <v>7</v>
      </c>
      <c r="E13" s="4">
        <f>'7A.1 Sumid.Argil.Mem. Cal. vali'!D59</f>
        <v>4.4975145599999991</v>
      </c>
      <c r="F13" s="733">
        <v>35.28</v>
      </c>
      <c r="G13" s="441">
        <f>E13*F13</f>
        <v>158.67231367679997</v>
      </c>
      <c r="H13" s="641">
        <v>87530</v>
      </c>
    </row>
    <row r="14" spans="1:8" ht="35.25" customHeight="1" x14ac:dyDescent="0.2">
      <c r="A14" s="1" t="s">
        <v>26</v>
      </c>
      <c r="B14" s="836" t="s">
        <v>894</v>
      </c>
      <c r="C14" s="836"/>
      <c r="D14" s="755" t="s">
        <v>10</v>
      </c>
      <c r="E14" s="4">
        <f>'7A.1 Sumid.Argil.Mem. Cal. vali'!D62</f>
        <v>0.1437679936</v>
      </c>
      <c r="F14" s="722">
        <v>1914.39</v>
      </c>
      <c r="G14" s="638">
        <f>E14*F14</f>
        <v>275.22800926790404</v>
      </c>
      <c r="H14" s="639">
        <v>97740</v>
      </c>
    </row>
    <row r="15" spans="1:8" ht="26.25" customHeight="1" x14ac:dyDescent="0.2">
      <c r="A15" s="1" t="s">
        <v>27</v>
      </c>
      <c r="B15" s="800" t="s">
        <v>619</v>
      </c>
      <c r="C15" s="800"/>
      <c r="D15" s="755" t="s">
        <v>10</v>
      </c>
      <c r="E15" s="4">
        <f>'7A.1 Sumid.Argil.Mem. Cal. vali'!J72</f>
        <v>0.15393839999999998</v>
      </c>
      <c r="F15" s="722">
        <v>94.14</v>
      </c>
      <c r="G15" s="272">
        <f>ROUND(E15*F15,2)</f>
        <v>14.49</v>
      </c>
      <c r="H15" s="210">
        <v>102719</v>
      </c>
    </row>
    <row r="16" spans="1:8" ht="17.100000000000001" customHeight="1" x14ac:dyDescent="0.2">
      <c r="A16" s="221" t="s">
        <v>34</v>
      </c>
      <c r="B16" s="800" t="s">
        <v>738</v>
      </c>
      <c r="C16" s="800"/>
      <c r="D16" s="755" t="s">
        <v>10</v>
      </c>
      <c r="E16" s="4">
        <f>'7A.1 Sumid.Argil.Mem. Cal. vali'!D92</f>
        <v>0.69366527999999983</v>
      </c>
      <c r="F16" s="722">
        <v>47.44</v>
      </c>
      <c r="G16" s="272">
        <f>E16*F16</f>
        <v>32.907480883199987</v>
      </c>
      <c r="H16" s="210">
        <v>96995</v>
      </c>
    </row>
    <row r="17" spans="1:8" ht="17.100000000000001" customHeight="1" thickBot="1" x14ac:dyDescent="0.25">
      <c r="A17" s="299"/>
      <c r="B17" s="992"/>
      <c r="C17" s="993"/>
      <c r="D17" s="642"/>
      <c r="E17" s="643"/>
      <c r="F17" s="644"/>
      <c r="G17" s="644"/>
      <c r="H17" s="645"/>
    </row>
    <row r="18" spans="1:8" ht="17.100000000000001" customHeight="1" thickBot="1" x14ac:dyDescent="0.25">
      <c r="A18" s="873" t="s">
        <v>32</v>
      </c>
      <c r="B18" s="874"/>
      <c r="C18" s="874"/>
      <c r="D18" s="874"/>
      <c r="E18" s="874"/>
      <c r="F18" s="874"/>
      <c r="G18" s="303">
        <f>SUM(G9:G17)</f>
        <v>1665.6007171719041</v>
      </c>
      <c r="H18" s="323"/>
    </row>
    <row r="20" spans="1:8" ht="53.25" customHeight="1" x14ac:dyDescent="0.2">
      <c r="C20" s="875" t="s">
        <v>269</v>
      </c>
      <c r="D20" s="876"/>
      <c r="E20" s="876"/>
      <c r="F20" s="876"/>
      <c r="G20" s="876"/>
      <c r="H20" s="876"/>
    </row>
  </sheetData>
  <sheetProtection selectLockedCells="1" selectUnlockedCells="1"/>
  <mergeCells count="25">
    <mergeCell ref="A18:F18"/>
    <mergeCell ref="A6:G6"/>
    <mergeCell ref="C20:H20"/>
    <mergeCell ref="B7:C7"/>
    <mergeCell ref="B8:C8"/>
    <mergeCell ref="B11:C11"/>
    <mergeCell ref="B12:C12"/>
    <mergeCell ref="B9:C9"/>
    <mergeCell ref="B15:C15"/>
    <mergeCell ref="B14:C14"/>
    <mergeCell ref="B16:C16"/>
    <mergeCell ref="B17:C17"/>
    <mergeCell ref="B13:C13"/>
    <mergeCell ref="B10:C10"/>
    <mergeCell ref="A5:H5"/>
    <mergeCell ref="A1:H1"/>
    <mergeCell ref="A2:H2"/>
    <mergeCell ref="A3:B3"/>
    <mergeCell ref="A4:B4"/>
    <mergeCell ref="C3:D3"/>
    <mergeCell ref="E3:F3"/>
    <mergeCell ref="G3:H3"/>
    <mergeCell ref="C4:D4"/>
    <mergeCell ref="E4:F4"/>
    <mergeCell ref="G4:H4"/>
  </mergeCells>
  <printOptions horizontalCentered="1"/>
  <pageMargins left="0.59055118110236227" right="0.59055118110236227" top="1.1811023622047245" bottom="0.98425196850393704" header="0.51181102362204722" footer="0.51181102362204722"/>
  <pageSetup paperSize="9" scale="75" orientation="portrait" r:id="rId1"/>
  <headerFooter alignWithMargins="0"/>
  <ignoredErrors>
    <ignoredError sqref="G10"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18</vt:i4>
      </vt:variant>
      <vt:variant>
        <vt:lpstr>Intervalos Nomeados</vt:lpstr>
      </vt:variant>
      <vt:variant>
        <vt:i4>20</vt:i4>
      </vt:variant>
    </vt:vector>
  </HeadingPairs>
  <TitlesOfParts>
    <vt:vector size="38" baseType="lpstr">
      <vt:lpstr>11. Composições</vt:lpstr>
      <vt:lpstr>2.1 Mod Mem Cál</vt:lpstr>
      <vt:lpstr>5. Cx de Inspeção</vt:lpstr>
      <vt:lpstr>5A. CX. de insp. Mem. Calc.</vt:lpstr>
      <vt:lpstr>6. Fossa - Cálculo</vt:lpstr>
      <vt:lpstr>6A. Fossa</vt:lpstr>
      <vt:lpstr>6A.1 Fossa Mem. CAL.</vt:lpstr>
      <vt:lpstr>7. Sumidouro cálculo</vt:lpstr>
      <vt:lpstr>7A. Sumid. Argil. </vt:lpstr>
      <vt:lpstr>7A.1 Sumid.Argil.Mem. Cal. vali</vt:lpstr>
      <vt:lpstr>7B. Sumid. Aren.</vt:lpstr>
      <vt:lpstr>7B.1 Sumid.Aren.Mem. Cal. valid</vt:lpstr>
      <vt:lpstr>8. Cálculo Vala</vt:lpstr>
      <vt:lpstr>8A. V. de infilt. S. Argil.</vt:lpstr>
      <vt:lpstr>8A.1 V. Infilt. Mem Cal Cp35</vt:lpstr>
      <vt:lpstr>8B. Vala de infilt. S. Aren.</vt:lpstr>
      <vt:lpstr>8B.1 V. Infilt. Mem Cal Cp65</vt:lpstr>
      <vt:lpstr>10. Placa Obra</vt:lpstr>
      <vt:lpstr>'10. Placa Obra'!Area_de_impressao</vt:lpstr>
      <vt:lpstr>'11. Composições'!Area_de_impressao</vt:lpstr>
      <vt:lpstr>'2.1 Mod Mem Cál'!Area_de_impressao</vt:lpstr>
      <vt:lpstr>'5. Cx de Inspeção'!Area_de_impressao</vt:lpstr>
      <vt:lpstr>'5A. CX. de insp. Mem. Calc.'!Area_de_impressao</vt:lpstr>
      <vt:lpstr>'6. Fossa - Cálculo'!Area_de_impressao</vt:lpstr>
      <vt:lpstr>'6A. Fossa'!Area_de_impressao</vt:lpstr>
      <vt:lpstr>'6A.1 Fossa Mem. CAL.'!Area_de_impressao</vt:lpstr>
      <vt:lpstr>'7. Sumidouro cálculo'!Area_de_impressao</vt:lpstr>
      <vt:lpstr>'7A. Sumid. Argil. '!Area_de_impressao</vt:lpstr>
      <vt:lpstr>'7A.1 Sumid.Argil.Mem. Cal. vali'!Area_de_impressao</vt:lpstr>
      <vt:lpstr>'7B. Sumid. Aren.'!Area_de_impressao</vt:lpstr>
      <vt:lpstr>'7B.1 Sumid.Aren.Mem. Cal. valid'!Area_de_impressao</vt:lpstr>
      <vt:lpstr>'8. Cálculo Vala'!Area_de_impressao</vt:lpstr>
      <vt:lpstr>'8A. V. de infilt. S. Argil.'!Area_de_impressao</vt:lpstr>
      <vt:lpstr>'8A.1 V. Infilt. Mem Cal Cp35'!Area_de_impressao</vt:lpstr>
      <vt:lpstr>'8B. Vala de infilt. S. Aren.'!Area_de_impressao</vt:lpstr>
      <vt:lpstr>'8B.1 V. Infilt. Mem Cal Cp65'!Area_de_impressao</vt:lpstr>
      <vt:lpstr>'11. Composições'!Titulos_de_impressao</vt:lpstr>
      <vt:lpstr>'2.1 Mod Mem Cál'!Titulos_de_impressao</vt:lpstr>
    </vt:vector>
  </TitlesOfParts>
  <Company>Fundação Nacional de Saúde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"Moacir Antunes" &lt;moacir.antunes@funasa.gov.br&gt;</dc:creator>
  <cp:lastModifiedBy>Andre</cp:lastModifiedBy>
  <cp:revision>1</cp:revision>
  <cp:lastPrinted>2022-03-23T17:35:37Z</cp:lastPrinted>
  <dcterms:created xsi:type="dcterms:W3CDTF">2008-01-14T19:43:24Z</dcterms:created>
  <dcterms:modified xsi:type="dcterms:W3CDTF">2023-01-27T17:53:10Z</dcterms:modified>
</cp:coreProperties>
</file>